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aveExternalLinkValues="0" codeName="ThisWorkbook"/>
  <mc:AlternateContent xmlns:mc="http://schemas.openxmlformats.org/markup-compatibility/2006">
    <mc:Choice Requires="x15">
      <x15ac:absPath xmlns:x15ac="http://schemas.microsoft.com/office/spreadsheetml/2010/11/ac" url="F:\SECOT\"/>
    </mc:Choice>
  </mc:AlternateContent>
  <xr:revisionPtr revIDLastSave="0" documentId="8_{2D98FB96-929C-42C6-A6C5-B4D2656B9A5E}" xr6:coauthVersionLast="47" xr6:coauthVersionMax="47" xr10:uidLastSave="{00000000-0000-0000-0000-000000000000}"/>
  <workbookProtection workbookPassword="CC4B" lockStructure="1"/>
  <bookViews>
    <workbookView xWindow="-120" yWindow="-120" windowWidth="29040" windowHeight="15720" firstSheet="1" activeTab="1" xr2:uid="{00000000-000D-0000-FFFF-FFFF00000000}"/>
  </bookViews>
  <sheets>
    <sheet name="Impuesto sociedades" sheetId="84" state="hidden" r:id="rId1"/>
    <sheet name="Inicio" sheetId="29" r:id="rId2"/>
    <sheet name="Datos generales" sheetId="1" r:id="rId3"/>
    <sheet name="Previsión de negocio" sheetId="26" r:id="rId4"/>
    <sheet name="Entrada Inver_Finan" sheetId="24" r:id="rId5"/>
    <sheet name="Previsión de Gastos" sheetId="25" r:id="rId6"/>
    <sheet name="PRESUPUESTO INICIAL INVER_FINAN" sheetId="20" r:id="rId7"/>
    <sheet name="CUENTA DE RESULTADOS" sheetId="8" r:id="rId8"/>
    <sheet name="TESORERIA" sheetId="11" r:id="rId9"/>
    <sheet name="BALANCES" sheetId="10" r:id="rId10"/>
    <sheet name="AMORTIZACION CONTABLE" sheetId="19" r:id="rId11"/>
    <sheet name="Préstamos LP" sheetId="23" r:id="rId12"/>
    <sheet name="Préstamos CP" sheetId="36" r:id="rId13"/>
    <sheet name="Otra financiación" sheetId="52" state="hidden" r:id="rId14"/>
    <sheet name="Plan de inversión" sheetId="16" r:id="rId15"/>
    <sheet name="Presupuesto de ventas" sheetId="5" r:id="rId16"/>
    <sheet name="Margen B" sheetId="6" r:id="rId17"/>
    <sheet name="Politica Cobr. Pagos" sheetId="9" r:id="rId18"/>
  </sheets>
  <definedNames>
    <definedName name="_xlnm._FilterDatabase" localSheetId="10" hidden="1">'AMORTIZACION CONTABLE'!$B$1:$M$41</definedName>
    <definedName name="_xlnm._FilterDatabase" localSheetId="9" hidden="1">BALANCES!$A$1:$P$127</definedName>
    <definedName name="_xlnm._FilterDatabase" localSheetId="7" hidden="1">'CUENTA DE RESULTADOS'!$A$1:$V$309</definedName>
    <definedName name="_xlnm._FilterDatabase" localSheetId="4" hidden="1">'Entrada Inver_Finan'!$C$106:$J$122</definedName>
    <definedName name="_xlnm._FilterDatabase" localSheetId="16" hidden="1">'Margen B'!$A$1:$AB$261</definedName>
    <definedName name="_xlnm._FilterDatabase" localSheetId="17" hidden="1">'Politica Cobr. Pagos'!$A$1:$AQ$182</definedName>
    <definedName name="_xlnm._FilterDatabase" localSheetId="15" hidden="1">'Presupuesto de ventas'!$B$4:$G$4</definedName>
    <definedName name="_xlnm._FilterDatabase" localSheetId="6" hidden="1">'PRESUPUESTO INICIAL INVER_FINAN'!$A$1:$X$119</definedName>
    <definedName name="_xlnm._FilterDatabase" localSheetId="5" hidden="1">'Previsión de Gastos'!$B$9:$V$47</definedName>
    <definedName name="_xlnm._FilterDatabase" localSheetId="3" hidden="1">'Previsión de negocio'!$A$1:$Z$292</definedName>
    <definedName name="_xlnm._FilterDatabase" localSheetId="8" hidden="1">TESORERIA!$A$1:$AB$154</definedName>
    <definedName name="_xlnm.Print_Area" localSheetId="10">'AMORTIZACION CONTABLE'!$B$3:$L$39</definedName>
    <definedName name="_xlnm.Print_Area" localSheetId="9">BALANCES!$A$10:$J$69</definedName>
    <definedName name="_xlnm.Print_Area" localSheetId="7">'CUENTA DE RESULTADOS'!$B$50:$R$129</definedName>
    <definedName name="_xlnm.Print_Area" localSheetId="16">'Margen B'!$A$4:$I$40</definedName>
    <definedName name="_xlnm.Print_Area" localSheetId="14">'Plan de inversión'!$B$2:$F$22</definedName>
    <definedName name="_xlnm.Print_Area" localSheetId="17">'Politica Cobr. Pagos'!$B$2:$S$109</definedName>
    <definedName name="_xlnm.Print_Area" localSheetId="11">'Préstamos LP'!$J$2:$AJ$13</definedName>
    <definedName name="_xlnm.Print_Area" localSheetId="15">'Presupuesto de ventas'!$B$6:$U$33</definedName>
    <definedName name="_xlnm.Print_Area" localSheetId="6">'PRESUPUESTO INICIAL INVER_FINAN'!$B$11:$G$119</definedName>
    <definedName name="_xlnm.Print_Area" localSheetId="8">TESORERIA!$A$6:$G$40</definedName>
    <definedName name="_xlnm.Print_Titles" localSheetId="10">'AMORTIZACION CONTABLE'!$3:$8</definedName>
    <definedName name="_xlnm.Print_Titles" localSheetId="9">BALANCES!$6:$9</definedName>
    <definedName name="_xlnm.Print_Titles" localSheetId="7">'CUENTA DE RESULTADOS'!$6:$10</definedName>
    <definedName name="_xlnm.Print_Titles" localSheetId="16">'Margen B'!$5:$9</definedName>
    <definedName name="_xlnm.Print_Titles" localSheetId="14">'Plan de inversión'!$2:$6</definedName>
    <definedName name="_xlnm.Print_Titles" localSheetId="17">'Politica Cobr. Pagos'!$3:$6</definedName>
    <definedName name="_xlnm.Print_Titles" localSheetId="12">'Préstamos CP'!$2:$7</definedName>
    <definedName name="_xlnm.Print_Titles" localSheetId="11">'Préstamos LP'!$2:$7</definedName>
    <definedName name="_xlnm.Print_Titles" localSheetId="15">'Presupuesto de ventas'!$3:$7</definedName>
    <definedName name="_xlnm.Print_Titles" localSheetId="6">'PRESUPUESTO INICIAL INVER_FINAN'!$6:$10</definedName>
    <definedName name="_xlnm.Print_Titles" localSheetId="8">TESORERIA!$4:$7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33" i="6" l="1"/>
  <c r="N233" i="6"/>
  <c r="M233" i="6"/>
  <c r="L233" i="6"/>
  <c r="K233" i="6"/>
  <c r="J233" i="6"/>
  <c r="I233" i="6"/>
  <c r="H233" i="6"/>
  <c r="G233" i="6"/>
  <c r="F233" i="6"/>
  <c r="E233" i="6"/>
  <c r="D233" i="6"/>
  <c r="O175" i="6"/>
  <c r="N175" i="6"/>
  <c r="M175" i="6"/>
  <c r="L175" i="6"/>
  <c r="K175" i="6"/>
  <c r="J175" i="6"/>
  <c r="I175" i="6"/>
  <c r="H175" i="6"/>
  <c r="G175" i="6"/>
  <c r="F175" i="6"/>
  <c r="E175" i="6"/>
  <c r="D175" i="6"/>
  <c r="O117" i="6"/>
  <c r="N117" i="6"/>
  <c r="M117" i="6"/>
  <c r="L117" i="6"/>
  <c r="K117" i="6"/>
  <c r="J117" i="6"/>
  <c r="I117" i="6"/>
  <c r="H117" i="6"/>
  <c r="G117" i="6"/>
  <c r="F117" i="6"/>
  <c r="E117" i="6"/>
  <c r="D117" i="6"/>
  <c r="D103" i="6"/>
  <c r="E103" i="6"/>
  <c r="F103" i="6"/>
  <c r="G103" i="6"/>
  <c r="H103" i="6"/>
  <c r="I103" i="6"/>
  <c r="J103" i="6"/>
  <c r="K103" i="6"/>
  <c r="L103" i="6"/>
  <c r="M103" i="6"/>
  <c r="N103" i="6"/>
  <c r="O103" i="6"/>
  <c r="R16" i="25"/>
  <c r="I114" i="24"/>
  <c r="H114" i="24"/>
  <c r="I109" i="24"/>
  <c r="J13" i="52"/>
  <c r="I13" i="52"/>
  <c r="H13" i="52"/>
  <c r="E9" i="84"/>
  <c r="D9" i="84"/>
  <c r="F29" i="1"/>
  <c r="E29" i="1"/>
  <c r="D29" i="1"/>
  <c r="G239" i="26"/>
  <c r="G234" i="26"/>
  <c r="V234" i="26"/>
  <c r="G241" i="26"/>
  <c r="T241" i="26"/>
  <c r="G236" i="26"/>
  <c r="F6" i="26"/>
  <c r="O17" i="25"/>
  <c r="O16" i="25"/>
  <c r="O15" i="25"/>
  <c r="O14" i="25"/>
  <c r="O23" i="25"/>
  <c r="D238" i="8"/>
  <c r="D157" i="8"/>
  <c r="D235" i="8"/>
  <c r="D158" i="8"/>
  <c r="D236" i="8"/>
  <c r="D159" i="8"/>
  <c r="D237" i="8"/>
  <c r="D163" i="8"/>
  <c r="D164" i="8"/>
  <c r="D165" i="8"/>
  <c r="D243" i="8"/>
  <c r="D245" i="8"/>
  <c r="D170" i="8"/>
  <c r="D248" i="8"/>
  <c r="D174" i="8"/>
  <c r="D252" i="8"/>
  <c r="D175" i="8"/>
  <c r="D253" i="8"/>
  <c r="D176" i="8"/>
  <c r="D254" i="8"/>
  <c r="D171" i="8"/>
  <c r="D249" i="8"/>
  <c r="D172" i="8"/>
  <c r="D250" i="8"/>
  <c r="D173" i="8"/>
  <c r="D251" i="8"/>
  <c r="D177" i="8"/>
  <c r="D255" i="8"/>
  <c r="D178" i="8"/>
  <c r="D256" i="8"/>
  <c r="D179" i="8"/>
  <c r="D257" i="8"/>
  <c r="D259" i="8"/>
  <c r="D159" i="26"/>
  <c r="D92" i="5"/>
  <c r="D165" i="26"/>
  <c r="D94" i="5"/>
  <c r="D171" i="26"/>
  <c r="D96" i="5"/>
  <c r="D177" i="26"/>
  <c r="D98" i="5"/>
  <c r="D183" i="26"/>
  <c r="D100" i="5"/>
  <c r="D189" i="26"/>
  <c r="D102" i="5"/>
  <c r="D195" i="26"/>
  <c r="D104" i="5"/>
  <c r="D201" i="26"/>
  <c r="D106" i="5"/>
  <c r="D207" i="26"/>
  <c r="D108" i="5"/>
  <c r="D213" i="26"/>
  <c r="D110" i="5"/>
  <c r="G235" i="26"/>
  <c r="G237" i="26"/>
  <c r="G238" i="26"/>
  <c r="U238" i="26"/>
  <c r="G240" i="26"/>
  <c r="G242" i="26"/>
  <c r="G243" i="26"/>
  <c r="D208" i="6"/>
  <c r="D209" i="6"/>
  <c r="D210" i="6"/>
  <c r="D211" i="6"/>
  <c r="D212" i="6"/>
  <c r="D213" i="6"/>
  <c r="D214" i="6"/>
  <c r="D215" i="6"/>
  <c r="D216" i="6"/>
  <c r="D217" i="6"/>
  <c r="D219" i="6"/>
  <c r="D222" i="6"/>
  <c r="D223" i="6"/>
  <c r="D224" i="6"/>
  <c r="D225" i="6"/>
  <c r="D226" i="6"/>
  <c r="D227" i="6"/>
  <c r="D228" i="6"/>
  <c r="D229" i="6"/>
  <c r="D230" i="6"/>
  <c r="D231" i="6"/>
  <c r="C236" i="6"/>
  <c r="C237" i="6"/>
  <c r="J29" i="6"/>
  <c r="C238" i="6"/>
  <c r="C239" i="6"/>
  <c r="C240" i="6"/>
  <c r="J32" i="6"/>
  <c r="C241" i="6"/>
  <c r="J33" i="6"/>
  <c r="D243" i="6"/>
  <c r="R14" i="25"/>
  <c r="E3" i="25"/>
  <c r="R15" i="25"/>
  <c r="S16" i="25"/>
  <c r="R17" i="25"/>
  <c r="R18" i="25"/>
  <c r="D146" i="8"/>
  <c r="D20" i="19"/>
  <c r="E20" i="19"/>
  <c r="K20" i="19"/>
  <c r="D13" i="19"/>
  <c r="E13" i="19"/>
  <c r="C13" i="19"/>
  <c r="F13" i="19"/>
  <c r="I13" i="19"/>
  <c r="K13" i="19"/>
  <c r="D14" i="19"/>
  <c r="C14" i="19"/>
  <c r="F14" i="19"/>
  <c r="I14" i="19"/>
  <c r="K14" i="19"/>
  <c r="D15" i="19"/>
  <c r="C15" i="19"/>
  <c r="F15" i="19"/>
  <c r="I15" i="19"/>
  <c r="K15" i="19"/>
  <c r="D16" i="19"/>
  <c r="E16" i="19"/>
  <c r="C16" i="19"/>
  <c r="F16" i="19"/>
  <c r="I16" i="19"/>
  <c r="K16" i="19"/>
  <c r="D17" i="19"/>
  <c r="C17" i="19"/>
  <c r="F17" i="19"/>
  <c r="I17" i="19"/>
  <c r="K17" i="19"/>
  <c r="D18" i="19"/>
  <c r="C18" i="19"/>
  <c r="F18" i="19"/>
  <c r="I18" i="19"/>
  <c r="K18" i="19"/>
  <c r="D19" i="19"/>
  <c r="E19" i="19"/>
  <c r="C19" i="19"/>
  <c r="F19" i="19"/>
  <c r="I19" i="19"/>
  <c r="K19" i="19"/>
  <c r="D21" i="19"/>
  <c r="E21" i="19"/>
  <c r="K21" i="19"/>
  <c r="D22" i="19"/>
  <c r="K22" i="19"/>
  <c r="D23" i="19"/>
  <c r="K23" i="19"/>
  <c r="D24" i="19"/>
  <c r="K24" i="19"/>
  <c r="D27" i="19"/>
  <c r="E27" i="19"/>
  <c r="C27" i="19"/>
  <c r="F27" i="19"/>
  <c r="I27" i="19"/>
  <c r="K27" i="19"/>
  <c r="D28" i="19"/>
  <c r="E28" i="19"/>
  <c r="C28" i="19"/>
  <c r="F28" i="19"/>
  <c r="I28" i="19"/>
  <c r="K28" i="19"/>
  <c r="D29" i="19"/>
  <c r="E29" i="19"/>
  <c r="C29" i="19"/>
  <c r="F29" i="19"/>
  <c r="I29" i="19"/>
  <c r="K29" i="19"/>
  <c r="D30" i="19"/>
  <c r="E30" i="19"/>
  <c r="C30" i="19"/>
  <c r="F30" i="19"/>
  <c r="I30" i="19"/>
  <c r="K30" i="19"/>
  <c r="D31" i="19"/>
  <c r="E31" i="19"/>
  <c r="K31" i="19"/>
  <c r="D32" i="19"/>
  <c r="K32" i="19"/>
  <c r="D33" i="19"/>
  <c r="E33" i="19"/>
  <c r="K33" i="19"/>
  <c r="D34" i="19"/>
  <c r="K34" i="19"/>
  <c r="D35" i="19"/>
  <c r="E35" i="19"/>
  <c r="K35" i="19"/>
  <c r="E238" i="8"/>
  <c r="E157" i="8"/>
  <c r="E235" i="8"/>
  <c r="E158" i="8"/>
  <c r="E236" i="8"/>
  <c r="E159" i="8"/>
  <c r="E237" i="8"/>
  <c r="E163" i="8"/>
  <c r="E164" i="8"/>
  <c r="E242" i="8"/>
  <c r="E165" i="8"/>
  <c r="E243" i="8"/>
  <c r="E245" i="8"/>
  <c r="E170" i="8"/>
  <c r="E248" i="8"/>
  <c r="E174" i="8"/>
  <c r="E252" i="8"/>
  <c r="E175" i="8"/>
  <c r="E253" i="8"/>
  <c r="E176" i="8"/>
  <c r="E254" i="8"/>
  <c r="E171" i="8"/>
  <c r="E249" i="8"/>
  <c r="E172" i="8"/>
  <c r="E173" i="8"/>
  <c r="E251" i="8"/>
  <c r="E177" i="8"/>
  <c r="E255" i="8"/>
  <c r="E178" i="8"/>
  <c r="E256" i="8"/>
  <c r="E179" i="8"/>
  <c r="E257" i="8"/>
  <c r="E259" i="8"/>
  <c r="E159" i="26"/>
  <c r="E92" i="5"/>
  <c r="E165" i="26"/>
  <c r="E94" i="5"/>
  <c r="E171" i="26"/>
  <c r="E96" i="5"/>
  <c r="E177" i="26"/>
  <c r="E98" i="5"/>
  <c r="E183" i="26"/>
  <c r="E100" i="5"/>
  <c r="E189" i="26"/>
  <c r="E102" i="5"/>
  <c r="E195" i="26"/>
  <c r="E104" i="5"/>
  <c r="E201" i="26"/>
  <c r="E106" i="5"/>
  <c r="E207" i="26"/>
  <c r="E108" i="5"/>
  <c r="E213" i="26"/>
  <c r="E110" i="5"/>
  <c r="E208" i="6"/>
  <c r="E209" i="6"/>
  <c r="E210" i="6"/>
  <c r="E211" i="6"/>
  <c r="E212" i="6"/>
  <c r="E213" i="6"/>
  <c r="E214" i="6"/>
  <c r="E215" i="6"/>
  <c r="E216" i="6"/>
  <c r="E217" i="6"/>
  <c r="E219" i="6"/>
  <c r="E222" i="6"/>
  <c r="E223" i="6"/>
  <c r="E224" i="6"/>
  <c r="E225" i="6"/>
  <c r="E226" i="6"/>
  <c r="E227" i="6"/>
  <c r="E228" i="6"/>
  <c r="E229" i="6"/>
  <c r="E230" i="6"/>
  <c r="E231" i="6"/>
  <c r="E243" i="6"/>
  <c r="E146" i="8"/>
  <c r="E224" i="8"/>
  <c r="F238" i="8"/>
  <c r="F157" i="8"/>
  <c r="F235" i="8"/>
  <c r="F158" i="8"/>
  <c r="F236" i="8"/>
  <c r="F159" i="8"/>
  <c r="F237" i="8"/>
  <c r="F163" i="8"/>
  <c r="F164" i="8"/>
  <c r="F242" i="8"/>
  <c r="F165" i="8"/>
  <c r="F245" i="8"/>
  <c r="F170" i="8"/>
  <c r="F248" i="8"/>
  <c r="F174" i="8"/>
  <c r="F252" i="8"/>
  <c r="F175" i="8"/>
  <c r="F253" i="8"/>
  <c r="F176" i="8"/>
  <c r="F254" i="8"/>
  <c r="F171" i="8"/>
  <c r="F249" i="8"/>
  <c r="F172" i="8"/>
  <c r="F250" i="8"/>
  <c r="F173" i="8"/>
  <c r="F251" i="8"/>
  <c r="F177" i="8"/>
  <c r="F255" i="8"/>
  <c r="F178" i="8"/>
  <c r="F256" i="8"/>
  <c r="F179" i="8"/>
  <c r="F257" i="8"/>
  <c r="F259" i="8"/>
  <c r="F159" i="26"/>
  <c r="F92" i="5"/>
  <c r="F165" i="26"/>
  <c r="F171" i="26"/>
  <c r="F96" i="5"/>
  <c r="F177" i="26"/>
  <c r="F183" i="26"/>
  <c r="F100" i="5"/>
  <c r="F189" i="26"/>
  <c r="F195" i="26"/>
  <c r="F104" i="5"/>
  <c r="F201" i="26"/>
  <c r="F207" i="26"/>
  <c r="F108" i="5"/>
  <c r="F213" i="26"/>
  <c r="F208" i="6"/>
  <c r="F209" i="6"/>
  <c r="F210" i="6"/>
  <c r="F211" i="6"/>
  <c r="F212" i="6"/>
  <c r="F213" i="6"/>
  <c r="F214" i="6"/>
  <c r="F215" i="6"/>
  <c r="F216" i="6"/>
  <c r="F217" i="6"/>
  <c r="F219" i="6"/>
  <c r="F222" i="6"/>
  <c r="F223" i="6"/>
  <c r="F224" i="6"/>
  <c r="F225" i="6"/>
  <c r="F226" i="6"/>
  <c r="F227" i="6"/>
  <c r="F228" i="6"/>
  <c r="F229" i="6"/>
  <c r="F230" i="6"/>
  <c r="F231" i="6"/>
  <c r="F243" i="6"/>
  <c r="F146" i="8"/>
  <c r="F224" i="8"/>
  <c r="G238" i="8"/>
  <c r="G157" i="8"/>
  <c r="G235" i="8"/>
  <c r="G158" i="8"/>
  <c r="G236" i="8"/>
  <c r="G159" i="8"/>
  <c r="G237" i="8"/>
  <c r="G163" i="8"/>
  <c r="G241" i="8"/>
  <c r="G164" i="8"/>
  <c r="G242" i="8"/>
  <c r="G165" i="8"/>
  <c r="G245" i="8"/>
  <c r="G170" i="8"/>
  <c r="G248" i="8"/>
  <c r="G174" i="8"/>
  <c r="G252" i="8"/>
  <c r="G175" i="8"/>
  <c r="G253" i="8"/>
  <c r="G176" i="8"/>
  <c r="G254" i="8"/>
  <c r="G171" i="8"/>
  <c r="G249" i="8"/>
  <c r="G172" i="8"/>
  <c r="G173" i="8"/>
  <c r="G251" i="8"/>
  <c r="G177" i="8"/>
  <c r="G255" i="8"/>
  <c r="G178" i="8"/>
  <c r="G256" i="8"/>
  <c r="G179" i="8"/>
  <c r="G259" i="8"/>
  <c r="G159" i="26"/>
  <c r="G92" i="5"/>
  <c r="G165" i="26"/>
  <c r="G94" i="5"/>
  <c r="G171" i="26"/>
  <c r="G96" i="5"/>
  <c r="G177" i="26"/>
  <c r="G98" i="5"/>
  <c r="G183" i="26"/>
  <c r="G100" i="5"/>
  <c r="G189" i="26"/>
  <c r="G102" i="5"/>
  <c r="G195" i="26"/>
  <c r="G104" i="5"/>
  <c r="G201" i="26"/>
  <c r="G106" i="5"/>
  <c r="G207" i="26"/>
  <c r="G108" i="5"/>
  <c r="G213" i="26"/>
  <c r="G110" i="5"/>
  <c r="G208" i="6"/>
  <c r="G209" i="6"/>
  <c r="G210" i="6"/>
  <c r="G211" i="6"/>
  <c r="G212" i="6"/>
  <c r="G213" i="6"/>
  <c r="G214" i="6"/>
  <c r="G215" i="6"/>
  <c r="G216" i="6"/>
  <c r="G217" i="6"/>
  <c r="G219" i="6"/>
  <c r="G222" i="6"/>
  <c r="G223" i="6"/>
  <c r="G224" i="6"/>
  <c r="G225" i="6"/>
  <c r="G226" i="6"/>
  <c r="G227" i="6"/>
  <c r="G228" i="6"/>
  <c r="G229" i="6"/>
  <c r="G230" i="6"/>
  <c r="G231" i="6"/>
  <c r="G243" i="6"/>
  <c r="G146" i="8"/>
  <c r="G224" i="8"/>
  <c r="H238" i="8"/>
  <c r="H157" i="8"/>
  <c r="H235" i="8"/>
  <c r="H158" i="8"/>
  <c r="H236" i="8"/>
  <c r="H159" i="8"/>
  <c r="H237" i="8"/>
  <c r="H163" i="8"/>
  <c r="H164" i="8"/>
  <c r="H242" i="8"/>
  <c r="H165" i="8"/>
  <c r="H245" i="8"/>
  <c r="H170" i="8"/>
  <c r="H248" i="8"/>
  <c r="H174" i="8"/>
  <c r="H175" i="8"/>
  <c r="H253" i="8"/>
  <c r="H176" i="8"/>
  <c r="H254" i="8"/>
  <c r="H171" i="8"/>
  <c r="H249" i="8"/>
  <c r="H172" i="8"/>
  <c r="H250" i="8"/>
  <c r="H173" i="8"/>
  <c r="H177" i="8"/>
  <c r="H255" i="8"/>
  <c r="H178" i="8"/>
  <c r="H256" i="8"/>
  <c r="H179" i="8"/>
  <c r="H257" i="8"/>
  <c r="H259" i="8"/>
  <c r="H159" i="26"/>
  <c r="H165" i="26"/>
  <c r="H94" i="5"/>
  <c r="H171" i="26"/>
  <c r="H177" i="26"/>
  <c r="H98" i="5"/>
  <c r="H183" i="26"/>
  <c r="H189" i="26"/>
  <c r="H102" i="5"/>
  <c r="H195" i="26"/>
  <c r="H201" i="26"/>
  <c r="H106" i="5"/>
  <c r="H207" i="26"/>
  <c r="H213" i="26"/>
  <c r="H110" i="5"/>
  <c r="H208" i="6"/>
  <c r="H209" i="6"/>
  <c r="H210" i="6"/>
  <c r="H211" i="6"/>
  <c r="H212" i="6"/>
  <c r="H213" i="6"/>
  <c r="H214" i="6"/>
  <c r="H215" i="6"/>
  <c r="H216" i="6"/>
  <c r="H217" i="6"/>
  <c r="H219" i="6"/>
  <c r="H222" i="6"/>
  <c r="H223" i="6"/>
  <c r="H224" i="6"/>
  <c r="H225" i="6"/>
  <c r="H226" i="6"/>
  <c r="H227" i="6"/>
  <c r="H228" i="6"/>
  <c r="H229" i="6"/>
  <c r="H230" i="6"/>
  <c r="H231" i="6"/>
  <c r="H243" i="6"/>
  <c r="H146" i="8"/>
  <c r="H224" i="8"/>
  <c r="I238" i="8"/>
  <c r="I157" i="8"/>
  <c r="I235" i="8"/>
  <c r="I158" i="8"/>
  <c r="I236" i="8"/>
  <c r="I159" i="8"/>
  <c r="I237" i="8"/>
  <c r="I163" i="8"/>
  <c r="I164" i="8"/>
  <c r="I242" i="8"/>
  <c r="I165" i="8"/>
  <c r="I245" i="8"/>
  <c r="I170" i="8"/>
  <c r="I174" i="8"/>
  <c r="I252" i="8"/>
  <c r="I175" i="8"/>
  <c r="I253" i="8"/>
  <c r="I176" i="8"/>
  <c r="I254" i="8"/>
  <c r="I171" i="8"/>
  <c r="I172" i="8"/>
  <c r="I250" i="8"/>
  <c r="I173" i="8"/>
  <c r="I177" i="8"/>
  <c r="I255" i="8"/>
  <c r="I178" i="8"/>
  <c r="I179" i="8"/>
  <c r="I259" i="8"/>
  <c r="I159" i="26"/>
  <c r="I92" i="5"/>
  <c r="I165" i="26"/>
  <c r="I94" i="5"/>
  <c r="I171" i="26"/>
  <c r="I96" i="5"/>
  <c r="I177" i="26"/>
  <c r="I98" i="5"/>
  <c r="I183" i="26"/>
  <c r="I100" i="5"/>
  <c r="I189" i="26"/>
  <c r="I102" i="5"/>
  <c r="I195" i="26"/>
  <c r="I104" i="5"/>
  <c r="I201" i="26"/>
  <c r="I106" i="5"/>
  <c r="I207" i="26"/>
  <c r="I108" i="5"/>
  <c r="I213" i="26"/>
  <c r="I110" i="5"/>
  <c r="I208" i="6"/>
  <c r="I209" i="6"/>
  <c r="I210" i="6"/>
  <c r="I211" i="6"/>
  <c r="I212" i="6"/>
  <c r="I213" i="6"/>
  <c r="I214" i="6"/>
  <c r="I215" i="6"/>
  <c r="I216" i="6"/>
  <c r="I217" i="6"/>
  <c r="I219" i="6"/>
  <c r="I222" i="6"/>
  <c r="I223" i="6"/>
  <c r="I224" i="6"/>
  <c r="I225" i="6"/>
  <c r="I226" i="6"/>
  <c r="I227" i="6"/>
  <c r="I228" i="6"/>
  <c r="I229" i="6"/>
  <c r="I230" i="6"/>
  <c r="I231" i="6"/>
  <c r="I243" i="6"/>
  <c r="I146" i="8"/>
  <c r="I224" i="8"/>
  <c r="J238" i="8"/>
  <c r="J157" i="8"/>
  <c r="J235" i="8"/>
  <c r="J158" i="8"/>
  <c r="J236" i="8"/>
  <c r="J159" i="8"/>
  <c r="J237" i="8"/>
  <c r="J163" i="8"/>
  <c r="J241" i="8"/>
  <c r="J164" i="8"/>
  <c r="J165" i="8"/>
  <c r="J243" i="8"/>
  <c r="J245" i="8"/>
  <c r="J170" i="8"/>
  <c r="J248" i="8"/>
  <c r="J174" i="8"/>
  <c r="J175" i="8"/>
  <c r="J253" i="8"/>
  <c r="J176" i="8"/>
  <c r="J254" i="8"/>
  <c r="J171" i="8"/>
  <c r="J172" i="8"/>
  <c r="J250" i="8"/>
  <c r="J173" i="8"/>
  <c r="J251" i="8"/>
  <c r="J177" i="8"/>
  <c r="J255" i="8"/>
  <c r="J178" i="8"/>
  <c r="J256" i="8"/>
  <c r="J179" i="8"/>
  <c r="J257" i="8"/>
  <c r="J259" i="8"/>
  <c r="J159" i="26"/>
  <c r="J92" i="5"/>
  <c r="J165" i="26"/>
  <c r="J94" i="5"/>
  <c r="J171" i="26"/>
  <c r="J96" i="5"/>
  <c r="J177" i="26"/>
  <c r="J98" i="5"/>
  <c r="J183" i="26"/>
  <c r="J100" i="5"/>
  <c r="J189" i="26"/>
  <c r="J102" i="5"/>
  <c r="J195" i="26"/>
  <c r="J104" i="5"/>
  <c r="J201" i="26"/>
  <c r="J106" i="5"/>
  <c r="J207" i="26"/>
  <c r="J108" i="5"/>
  <c r="J213" i="26"/>
  <c r="J110" i="5"/>
  <c r="J208" i="6"/>
  <c r="J209" i="6"/>
  <c r="J210" i="6"/>
  <c r="J211" i="6"/>
  <c r="J212" i="6"/>
  <c r="J213" i="6"/>
  <c r="J214" i="6"/>
  <c r="J215" i="6"/>
  <c r="J216" i="6"/>
  <c r="J217" i="6"/>
  <c r="J219" i="6"/>
  <c r="J222" i="6"/>
  <c r="J223" i="6"/>
  <c r="J224" i="6"/>
  <c r="J225" i="6"/>
  <c r="J226" i="6"/>
  <c r="J227" i="6"/>
  <c r="J228" i="6"/>
  <c r="J229" i="6"/>
  <c r="J230" i="6"/>
  <c r="J231" i="6"/>
  <c r="J243" i="6"/>
  <c r="J146" i="8"/>
  <c r="J224" i="8"/>
  <c r="K238" i="8"/>
  <c r="K157" i="8"/>
  <c r="K158" i="8"/>
  <c r="K159" i="8"/>
  <c r="K237" i="8"/>
  <c r="K163" i="8"/>
  <c r="K241" i="8"/>
  <c r="K164" i="8"/>
  <c r="K242" i="8"/>
  <c r="K165" i="8"/>
  <c r="K243" i="8"/>
  <c r="K245" i="8"/>
  <c r="K170" i="8"/>
  <c r="K248" i="8"/>
  <c r="K174" i="8"/>
  <c r="K175" i="8"/>
  <c r="K253" i="8"/>
  <c r="K176" i="8"/>
  <c r="K254" i="8"/>
  <c r="K171" i="8"/>
  <c r="K249" i="8"/>
  <c r="K172" i="8"/>
  <c r="K250" i="8"/>
  <c r="K173" i="8"/>
  <c r="K251" i="8"/>
  <c r="K177" i="8"/>
  <c r="K255" i="8"/>
  <c r="K178" i="8"/>
  <c r="K256" i="8"/>
  <c r="K179" i="8"/>
  <c r="K257" i="8"/>
  <c r="K259" i="8"/>
  <c r="K159" i="26"/>
  <c r="K92" i="5"/>
  <c r="K165" i="26"/>
  <c r="K94" i="5"/>
  <c r="K171" i="26"/>
  <c r="K96" i="5"/>
  <c r="K177" i="26"/>
  <c r="K98" i="5"/>
  <c r="K183" i="26"/>
  <c r="K100" i="5"/>
  <c r="K189" i="26"/>
  <c r="K102" i="5"/>
  <c r="K195" i="26"/>
  <c r="K104" i="5"/>
  <c r="K201" i="26"/>
  <c r="K106" i="5"/>
  <c r="K207" i="26"/>
  <c r="K108" i="5"/>
  <c r="K213" i="26"/>
  <c r="K110" i="5"/>
  <c r="K208" i="6"/>
  <c r="K209" i="6"/>
  <c r="K210" i="6"/>
  <c r="K211" i="6"/>
  <c r="K212" i="6"/>
  <c r="K213" i="6"/>
  <c r="K214" i="6"/>
  <c r="K215" i="6"/>
  <c r="K216" i="6"/>
  <c r="K217" i="6"/>
  <c r="K219" i="6"/>
  <c r="K222" i="6"/>
  <c r="K223" i="6"/>
  <c r="K224" i="6"/>
  <c r="K225" i="6"/>
  <c r="K226" i="6"/>
  <c r="K227" i="6"/>
  <c r="K228" i="6"/>
  <c r="K229" i="6"/>
  <c r="K230" i="6"/>
  <c r="K231" i="6"/>
  <c r="K243" i="6"/>
  <c r="K146" i="8"/>
  <c r="K224" i="8"/>
  <c r="L238" i="8"/>
  <c r="L157" i="8"/>
  <c r="L235" i="8"/>
  <c r="L158" i="8"/>
  <c r="L236" i="8"/>
  <c r="L159" i="8"/>
  <c r="L237" i="8"/>
  <c r="L163" i="8"/>
  <c r="L164" i="8"/>
  <c r="L165" i="8"/>
  <c r="L245" i="8"/>
  <c r="L170" i="8"/>
  <c r="L248" i="8"/>
  <c r="L174" i="8"/>
  <c r="L252" i="8"/>
  <c r="L175" i="8"/>
  <c r="L253" i="8"/>
  <c r="L176" i="8"/>
  <c r="L254" i="8"/>
  <c r="L171" i="8"/>
  <c r="L249" i="8"/>
  <c r="L172" i="8"/>
  <c r="L250" i="8"/>
  <c r="L173" i="8"/>
  <c r="L177" i="8"/>
  <c r="L255" i="8"/>
  <c r="L178" i="8"/>
  <c r="L256" i="8"/>
  <c r="L179" i="8"/>
  <c r="L259" i="8"/>
  <c r="L159" i="26"/>
  <c r="L92" i="5"/>
  <c r="L165" i="26"/>
  <c r="L94" i="5"/>
  <c r="L171" i="26"/>
  <c r="L96" i="5"/>
  <c r="L177" i="26"/>
  <c r="L98" i="5"/>
  <c r="L183" i="26"/>
  <c r="L100" i="5"/>
  <c r="L189" i="26"/>
  <c r="L102" i="5"/>
  <c r="L195" i="26"/>
  <c r="L104" i="5"/>
  <c r="L201" i="26"/>
  <c r="L106" i="5"/>
  <c r="L207" i="26"/>
  <c r="L108" i="5"/>
  <c r="L213" i="26"/>
  <c r="L110" i="5"/>
  <c r="L208" i="6"/>
  <c r="L209" i="6"/>
  <c r="L210" i="6"/>
  <c r="L211" i="6"/>
  <c r="L212" i="6"/>
  <c r="L213" i="6"/>
  <c r="L214" i="6"/>
  <c r="L215" i="6"/>
  <c r="L216" i="6"/>
  <c r="L217" i="6"/>
  <c r="L219" i="6"/>
  <c r="L222" i="6"/>
  <c r="L223" i="6"/>
  <c r="L224" i="6"/>
  <c r="L225" i="6"/>
  <c r="L226" i="6"/>
  <c r="L227" i="6"/>
  <c r="L228" i="6"/>
  <c r="L229" i="6"/>
  <c r="L230" i="6"/>
  <c r="L231" i="6"/>
  <c r="L243" i="6"/>
  <c r="L146" i="8"/>
  <c r="L224" i="8"/>
  <c r="M238" i="8"/>
  <c r="M157" i="8"/>
  <c r="M235" i="8"/>
  <c r="M158" i="8"/>
  <c r="M236" i="8"/>
  <c r="M159" i="8"/>
  <c r="M237" i="8"/>
  <c r="M163" i="8"/>
  <c r="M164" i="8"/>
  <c r="M165" i="8"/>
  <c r="M243" i="8"/>
  <c r="M245" i="8"/>
  <c r="M170" i="8"/>
  <c r="M248" i="8"/>
  <c r="M174" i="8"/>
  <c r="M252" i="8"/>
  <c r="M175" i="8"/>
  <c r="M253" i="8"/>
  <c r="M176" i="8"/>
  <c r="M254" i="8"/>
  <c r="M171" i="8"/>
  <c r="M249" i="8"/>
  <c r="M172" i="8"/>
  <c r="M250" i="8"/>
  <c r="M173" i="8"/>
  <c r="M251" i="8"/>
  <c r="M177" i="8"/>
  <c r="M255" i="8"/>
  <c r="M178" i="8"/>
  <c r="M256" i="8"/>
  <c r="M179" i="8"/>
  <c r="M257" i="8"/>
  <c r="M259" i="8"/>
  <c r="M159" i="26"/>
  <c r="M92" i="5"/>
  <c r="M165" i="26"/>
  <c r="M94" i="5"/>
  <c r="M171" i="26"/>
  <c r="M96" i="5"/>
  <c r="M177" i="26"/>
  <c r="M98" i="5"/>
  <c r="M183" i="26"/>
  <c r="M100" i="5"/>
  <c r="M189" i="26"/>
  <c r="M102" i="5"/>
  <c r="M195" i="26"/>
  <c r="M104" i="5"/>
  <c r="M201" i="26"/>
  <c r="M106" i="5"/>
  <c r="M207" i="26"/>
  <c r="M108" i="5"/>
  <c r="M213" i="26"/>
  <c r="M110" i="5"/>
  <c r="M208" i="6"/>
  <c r="M209" i="6"/>
  <c r="M210" i="6"/>
  <c r="M211" i="6"/>
  <c r="M212" i="6"/>
  <c r="M213" i="6"/>
  <c r="M214" i="6"/>
  <c r="M215" i="6"/>
  <c r="M216" i="6"/>
  <c r="M217" i="6"/>
  <c r="M219" i="6"/>
  <c r="M222" i="6"/>
  <c r="M223" i="6"/>
  <c r="M224" i="6"/>
  <c r="M225" i="6"/>
  <c r="M226" i="6"/>
  <c r="M227" i="6"/>
  <c r="M228" i="6"/>
  <c r="M229" i="6"/>
  <c r="M230" i="6"/>
  <c r="M231" i="6"/>
  <c r="M243" i="6"/>
  <c r="M146" i="8"/>
  <c r="M224" i="8"/>
  <c r="N238" i="8"/>
  <c r="N157" i="8"/>
  <c r="N235" i="8"/>
  <c r="N158" i="8"/>
  <c r="N236" i="8"/>
  <c r="N159" i="8"/>
  <c r="N163" i="8"/>
  <c r="N241" i="8"/>
  <c r="N164" i="8"/>
  <c r="N242" i="8"/>
  <c r="N165" i="8"/>
  <c r="N243" i="8"/>
  <c r="N245" i="8"/>
  <c r="N170" i="8"/>
  <c r="N248" i="8"/>
  <c r="N174" i="8"/>
  <c r="N252" i="8"/>
  <c r="N175" i="8"/>
  <c r="N176" i="8"/>
  <c r="N254" i="8"/>
  <c r="N171" i="8"/>
  <c r="N249" i="8"/>
  <c r="N172" i="8"/>
  <c r="N250" i="8"/>
  <c r="N173" i="8"/>
  <c r="N251" i="8"/>
  <c r="N177" i="8"/>
  <c r="N255" i="8"/>
  <c r="N178" i="8"/>
  <c r="N256" i="8"/>
  <c r="N179" i="8"/>
  <c r="N257" i="8"/>
  <c r="N259" i="8"/>
  <c r="N159" i="26"/>
  <c r="N92" i="5"/>
  <c r="N165" i="26"/>
  <c r="N94" i="5"/>
  <c r="N171" i="26"/>
  <c r="N96" i="5"/>
  <c r="N177" i="26"/>
  <c r="N98" i="5"/>
  <c r="N183" i="26"/>
  <c r="N100" i="5"/>
  <c r="N189" i="26"/>
  <c r="N102" i="5"/>
  <c r="N195" i="26"/>
  <c r="N104" i="5"/>
  <c r="N201" i="26"/>
  <c r="N106" i="5"/>
  <c r="N207" i="26"/>
  <c r="N108" i="5"/>
  <c r="N213" i="26"/>
  <c r="N110" i="5"/>
  <c r="N208" i="6"/>
  <c r="N209" i="6"/>
  <c r="N210" i="6"/>
  <c r="N211" i="6"/>
  <c r="N212" i="6"/>
  <c r="N213" i="6"/>
  <c r="N214" i="6"/>
  <c r="N215" i="6"/>
  <c r="N216" i="6"/>
  <c r="N217" i="6"/>
  <c r="N219" i="6"/>
  <c r="N222" i="6"/>
  <c r="N223" i="6"/>
  <c r="N224" i="6"/>
  <c r="N225" i="6"/>
  <c r="N226" i="6"/>
  <c r="N227" i="6"/>
  <c r="N228" i="6"/>
  <c r="N229" i="6"/>
  <c r="N230" i="6"/>
  <c r="N231" i="6"/>
  <c r="N243" i="6"/>
  <c r="N146" i="8"/>
  <c r="N224" i="8"/>
  <c r="O238" i="8"/>
  <c r="O157" i="8"/>
  <c r="O158" i="8"/>
  <c r="O159" i="8"/>
  <c r="O237" i="8"/>
  <c r="O163" i="8"/>
  <c r="O164" i="8"/>
  <c r="O165" i="8"/>
  <c r="O243" i="8"/>
  <c r="O245" i="8"/>
  <c r="O170" i="8"/>
  <c r="O248" i="8"/>
  <c r="O174" i="8"/>
  <c r="O252" i="8"/>
  <c r="O175" i="8"/>
  <c r="O253" i="8"/>
  <c r="O176" i="8"/>
  <c r="O254" i="8"/>
  <c r="O171" i="8"/>
  <c r="O249" i="8"/>
  <c r="O172" i="8"/>
  <c r="O250" i="8"/>
  <c r="O173" i="8"/>
  <c r="O251" i="8"/>
  <c r="O177" i="8"/>
  <c r="O255" i="8"/>
  <c r="O178" i="8"/>
  <c r="O256" i="8"/>
  <c r="O179" i="8"/>
  <c r="O257" i="8"/>
  <c r="O259" i="8"/>
  <c r="O159" i="26"/>
  <c r="O92" i="5"/>
  <c r="O165" i="26"/>
  <c r="O94" i="5"/>
  <c r="O171" i="26"/>
  <c r="O96" i="5"/>
  <c r="O177" i="26"/>
  <c r="O98" i="5"/>
  <c r="O183" i="26"/>
  <c r="O100" i="5"/>
  <c r="O189" i="26"/>
  <c r="O102" i="5"/>
  <c r="O195" i="26"/>
  <c r="O104" i="5"/>
  <c r="O201" i="26"/>
  <c r="O106" i="5"/>
  <c r="O207" i="26"/>
  <c r="O108" i="5"/>
  <c r="O213" i="26"/>
  <c r="O110" i="5"/>
  <c r="O208" i="6"/>
  <c r="O209" i="6"/>
  <c r="O210" i="6"/>
  <c r="O211" i="6"/>
  <c r="O212" i="6"/>
  <c r="O213" i="6"/>
  <c r="O214" i="6"/>
  <c r="O215" i="6"/>
  <c r="O216" i="6"/>
  <c r="O217" i="6"/>
  <c r="O219" i="6"/>
  <c r="O222" i="6"/>
  <c r="P222" i="6"/>
  <c r="J13" i="6"/>
  <c r="O223" i="6"/>
  <c r="O224" i="6"/>
  <c r="O225" i="6"/>
  <c r="O226" i="6"/>
  <c r="O227" i="6"/>
  <c r="O228" i="6"/>
  <c r="O229" i="6"/>
  <c r="O230" i="6"/>
  <c r="P230" i="6"/>
  <c r="J21" i="6"/>
  <c r="O231" i="6"/>
  <c r="O243" i="6"/>
  <c r="O146" i="8"/>
  <c r="O224" i="8"/>
  <c r="N10" i="1"/>
  <c r="P10" i="1"/>
  <c r="P238" i="8"/>
  <c r="P239" i="8"/>
  <c r="P230" i="8"/>
  <c r="P266" i="8"/>
  <c r="Q266" i="8"/>
  <c r="F22" i="8"/>
  <c r="C26" i="23"/>
  <c r="D96" i="23"/>
  <c r="C110" i="23"/>
  <c r="D93" i="23"/>
  <c r="D94" i="23"/>
  <c r="D90" i="23"/>
  <c r="D95" i="23"/>
  <c r="D92" i="23"/>
  <c r="I110" i="24"/>
  <c r="M96" i="23"/>
  <c r="L110" i="23"/>
  <c r="M93" i="23"/>
  <c r="M94" i="23"/>
  <c r="M97" i="23" s="1"/>
  <c r="M90" i="23"/>
  <c r="M95" i="23"/>
  <c r="M92" i="23"/>
  <c r="V96" i="23"/>
  <c r="U110" i="23"/>
  <c r="V93" i="23"/>
  <c r="V94" i="23"/>
  <c r="H109" i="24"/>
  <c r="D102" i="23"/>
  <c r="H110" i="24"/>
  <c r="M91" i="23"/>
  <c r="M102" i="23"/>
  <c r="V102" i="23"/>
  <c r="V91" i="23"/>
  <c r="W91" i="23"/>
  <c r="I126" i="24"/>
  <c r="D73" i="36"/>
  <c r="C85" i="36"/>
  <c r="D71" i="36"/>
  <c r="E72" i="36"/>
  <c r="D72" i="36"/>
  <c r="I127" i="24"/>
  <c r="M73" i="36"/>
  <c r="L85" i="36"/>
  <c r="M71" i="36"/>
  <c r="N72" i="36"/>
  <c r="M72" i="36"/>
  <c r="V73" i="36"/>
  <c r="U85" i="36"/>
  <c r="V71" i="36"/>
  <c r="W72" i="36"/>
  <c r="V72" i="36"/>
  <c r="AE96" i="23"/>
  <c r="AD110" i="23"/>
  <c r="AE94" i="23"/>
  <c r="AE95" i="23"/>
  <c r="AE97" i="23"/>
  <c r="I115" i="24"/>
  <c r="AN96" i="23"/>
  <c r="AM110" i="23"/>
  <c r="AN94" i="23"/>
  <c r="AN95" i="23"/>
  <c r="AN97" i="23"/>
  <c r="AW96" i="23"/>
  <c r="AV110" i="23"/>
  <c r="AW94" i="23"/>
  <c r="AW95" i="23"/>
  <c r="D200" i="8"/>
  <c r="D278" i="8"/>
  <c r="D192" i="8"/>
  <c r="D270" i="8"/>
  <c r="D193" i="8"/>
  <c r="D271" i="8"/>
  <c r="E200" i="8"/>
  <c r="E278" i="8"/>
  <c r="E192" i="8"/>
  <c r="E270" i="8"/>
  <c r="E193" i="8"/>
  <c r="E271" i="8"/>
  <c r="F200" i="8"/>
  <c r="F278" i="8"/>
  <c r="F192" i="8"/>
  <c r="F270" i="8"/>
  <c r="F193" i="8"/>
  <c r="F271" i="8"/>
  <c r="G200" i="8"/>
  <c r="G278" i="8"/>
  <c r="G192" i="8"/>
  <c r="G270" i="8"/>
  <c r="G193" i="8"/>
  <c r="G271" i="8"/>
  <c r="H200" i="8"/>
  <c r="H278" i="8"/>
  <c r="H192" i="8"/>
  <c r="H193" i="8"/>
  <c r="I200" i="8"/>
  <c r="I278" i="8"/>
  <c r="I192" i="8"/>
  <c r="I270" i="8"/>
  <c r="I193" i="8"/>
  <c r="I271" i="8"/>
  <c r="J200" i="8"/>
  <c r="J278" i="8"/>
  <c r="J192" i="8"/>
  <c r="J193" i="8"/>
  <c r="K200" i="8"/>
  <c r="K192" i="8"/>
  <c r="K270" i="8"/>
  <c r="K193" i="8"/>
  <c r="K271" i="8"/>
  <c r="K272" i="8"/>
  <c r="J123" i="11"/>
  <c r="L200" i="8"/>
  <c r="L278" i="8"/>
  <c r="L192" i="8"/>
  <c r="L193" i="8"/>
  <c r="L271" i="8"/>
  <c r="M200" i="8"/>
  <c r="M278" i="8"/>
  <c r="M192" i="8"/>
  <c r="M270" i="8"/>
  <c r="M193" i="8"/>
  <c r="M271" i="8"/>
  <c r="N200" i="8"/>
  <c r="N278" i="8"/>
  <c r="N192" i="8"/>
  <c r="N270" i="8"/>
  <c r="N193" i="8"/>
  <c r="O200" i="8"/>
  <c r="O278" i="8"/>
  <c r="O192" i="8"/>
  <c r="O193" i="8"/>
  <c r="O271" i="8"/>
  <c r="P272" i="8"/>
  <c r="P279" i="8"/>
  <c r="F9" i="84"/>
  <c r="J35" i="84"/>
  <c r="D160" i="8"/>
  <c r="D161" i="8" s="1"/>
  <c r="D167" i="8"/>
  <c r="D181" i="8"/>
  <c r="D96" i="26"/>
  <c r="D66" i="5"/>
  <c r="D102" i="26"/>
  <c r="D68" i="5"/>
  <c r="D108" i="26"/>
  <c r="D114" i="26"/>
  <c r="D120" i="26"/>
  <c r="D74" i="5"/>
  <c r="D126" i="26"/>
  <c r="D132" i="26"/>
  <c r="D78" i="5"/>
  <c r="D138" i="26"/>
  <c r="D80" i="5"/>
  <c r="D144" i="26"/>
  <c r="D82" i="5"/>
  <c r="D150" i="26"/>
  <c r="D150" i="6"/>
  <c r="D151" i="6"/>
  <c r="D152" i="6"/>
  <c r="D153" i="6"/>
  <c r="D154" i="6"/>
  <c r="D155" i="6"/>
  <c r="D156" i="6"/>
  <c r="D157" i="6"/>
  <c r="D158" i="6"/>
  <c r="D159" i="6"/>
  <c r="D161" i="6"/>
  <c r="D164" i="6"/>
  <c r="D165" i="6"/>
  <c r="D166" i="6"/>
  <c r="D167" i="6"/>
  <c r="D168" i="6"/>
  <c r="D169" i="6"/>
  <c r="D170" i="6"/>
  <c r="D171" i="6"/>
  <c r="D172" i="6"/>
  <c r="D173" i="6"/>
  <c r="C178" i="6"/>
  <c r="G28" i="6"/>
  <c r="C179" i="6"/>
  <c r="C180" i="6"/>
  <c r="G30" i="6"/>
  <c r="C181" i="6"/>
  <c r="G31" i="6"/>
  <c r="C182" i="6"/>
  <c r="G32" i="6"/>
  <c r="C183" i="6"/>
  <c r="G33" i="6"/>
  <c r="D185" i="6"/>
  <c r="C20" i="19"/>
  <c r="F20" i="19"/>
  <c r="I20" i="19"/>
  <c r="I21" i="19"/>
  <c r="C21" i="19"/>
  <c r="F21" i="19"/>
  <c r="I22" i="19"/>
  <c r="C22" i="19"/>
  <c r="F22" i="19"/>
  <c r="I23" i="19"/>
  <c r="C23" i="19"/>
  <c r="F23" i="19"/>
  <c r="I24" i="19"/>
  <c r="C24" i="19"/>
  <c r="F24" i="19"/>
  <c r="I31" i="19"/>
  <c r="C31" i="19"/>
  <c r="F31" i="19"/>
  <c r="I32" i="19"/>
  <c r="C32" i="19"/>
  <c r="F32" i="19"/>
  <c r="I33" i="19"/>
  <c r="C33" i="19"/>
  <c r="F33" i="19"/>
  <c r="I34" i="19"/>
  <c r="C34" i="19"/>
  <c r="F34" i="19"/>
  <c r="I35" i="19"/>
  <c r="C35" i="19"/>
  <c r="F35" i="19"/>
  <c r="E160" i="8"/>
  <c r="E161" i="8" s="1"/>
  <c r="D104" i="11" s="1"/>
  <c r="E167" i="8"/>
  <c r="E181" i="8"/>
  <c r="E96" i="26"/>
  <c r="E66" i="5"/>
  <c r="E102" i="26"/>
  <c r="E108" i="26"/>
  <c r="E70" i="5"/>
  <c r="E114" i="26"/>
  <c r="E72" i="5"/>
  <c r="E120" i="26"/>
  <c r="E74" i="5"/>
  <c r="E126" i="26"/>
  <c r="E76" i="5"/>
  <c r="E132" i="26"/>
  <c r="E78" i="5"/>
  <c r="E138" i="26"/>
  <c r="E80" i="5"/>
  <c r="E144" i="26"/>
  <c r="E82" i="5"/>
  <c r="E150" i="26"/>
  <c r="E84" i="5"/>
  <c r="E150" i="6"/>
  <c r="E151" i="6"/>
  <c r="E152" i="6"/>
  <c r="E153" i="6"/>
  <c r="E154" i="6"/>
  <c r="E155" i="6"/>
  <c r="E156" i="6"/>
  <c r="E157" i="6"/>
  <c r="E158" i="6"/>
  <c r="E159" i="6"/>
  <c r="E161" i="6"/>
  <c r="E164" i="6"/>
  <c r="E165" i="6"/>
  <c r="E166" i="6"/>
  <c r="E167" i="6"/>
  <c r="E168" i="6"/>
  <c r="E169" i="6"/>
  <c r="E170" i="6"/>
  <c r="E171" i="6"/>
  <c r="E172" i="6"/>
  <c r="E173" i="6"/>
  <c r="E185" i="6"/>
  <c r="F160" i="8"/>
  <c r="F161" i="8" s="1"/>
  <c r="F167" i="8"/>
  <c r="F181" i="8"/>
  <c r="F96" i="26"/>
  <c r="F102" i="26"/>
  <c r="F68" i="5"/>
  <c r="F108" i="26"/>
  <c r="F70" i="5"/>
  <c r="F114" i="26"/>
  <c r="F72" i="5"/>
  <c r="F120" i="26"/>
  <c r="F74" i="5"/>
  <c r="F126" i="26"/>
  <c r="F76" i="5"/>
  <c r="F132" i="26"/>
  <c r="F78" i="5"/>
  <c r="F138" i="26"/>
  <c r="F80" i="5"/>
  <c r="F144" i="26"/>
  <c r="F150" i="26"/>
  <c r="F84" i="5"/>
  <c r="F150" i="6"/>
  <c r="F151" i="6"/>
  <c r="F152" i="6"/>
  <c r="F153" i="6"/>
  <c r="F154" i="6"/>
  <c r="F155" i="6"/>
  <c r="F156" i="6"/>
  <c r="F157" i="6"/>
  <c r="F158" i="6"/>
  <c r="F159" i="6"/>
  <c r="F161" i="6"/>
  <c r="F164" i="6"/>
  <c r="F165" i="6"/>
  <c r="F166" i="6"/>
  <c r="F167" i="6"/>
  <c r="F168" i="6"/>
  <c r="F169" i="6"/>
  <c r="F170" i="6"/>
  <c r="F171" i="6"/>
  <c r="F172" i="6"/>
  <c r="F173" i="6"/>
  <c r="F185" i="6"/>
  <c r="G160" i="8"/>
  <c r="G161" i="8" s="1"/>
  <c r="G167" i="8"/>
  <c r="G181" i="8"/>
  <c r="G96" i="26"/>
  <c r="G66" i="5"/>
  <c r="G102" i="26"/>
  <c r="G68" i="5"/>
  <c r="G108" i="26"/>
  <c r="G70" i="5"/>
  <c r="G114" i="26"/>
  <c r="G72" i="5"/>
  <c r="G120" i="26"/>
  <c r="G74" i="5"/>
  <c r="G126" i="26"/>
  <c r="G76" i="5"/>
  <c r="G132" i="26"/>
  <c r="G78" i="5"/>
  <c r="G138" i="26"/>
  <c r="G80" i="5"/>
  <c r="G144" i="26"/>
  <c r="G82" i="5"/>
  <c r="G150" i="26"/>
  <c r="G84" i="5"/>
  <c r="G150" i="6"/>
  <c r="G151" i="6"/>
  <c r="G152" i="6"/>
  <c r="G153" i="6"/>
  <c r="G154" i="6"/>
  <c r="G155" i="6"/>
  <c r="G156" i="6"/>
  <c r="G157" i="6"/>
  <c r="G158" i="6"/>
  <c r="G159" i="6"/>
  <c r="G161" i="6"/>
  <c r="G164" i="6"/>
  <c r="G165" i="6"/>
  <c r="G166" i="6"/>
  <c r="G167" i="6"/>
  <c r="G168" i="6"/>
  <c r="G169" i="6"/>
  <c r="G170" i="6"/>
  <c r="G171" i="6"/>
  <c r="G172" i="6"/>
  <c r="G173" i="6"/>
  <c r="G185" i="6"/>
  <c r="H160" i="8"/>
  <c r="H167" i="8"/>
  <c r="H181" i="8"/>
  <c r="H96" i="26"/>
  <c r="H66" i="5"/>
  <c r="H102" i="26"/>
  <c r="H68" i="5"/>
  <c r="H108" i="26"/>
  <c r="H70" i="5"/>
  <c r="H114" i="26"/>
  <c r="H72" i="5"/>
  <c r="H120" i="26"/>
  <c r="H74" i="5"/>
  <c r="H126" i="26"/>
  <c r="H76" i="5"/>
  <c r="H132" i="26"/>
  <c r="H78" i="5"/>
  <c r="H138" i="26"/>
  <c r="H80" i="5"/>
  <c r="H144" i="26"/>
  <c r="H82" i="5"/>
  <c r="H150" i="26"/>
  <c r="H84" i="5"/>
  <c r="H150" i="6"/>
  <c r="H151" i="6"/>
  <c r="H152" i="6"/>
  <c r="H153" i="6"/>
  <c r="H154" i="6"/>
  <c r="H155" i="6"/>
  <c r="H156" i="6"/>
  <c r="H157" i="6"/>
  <c r="H158" i="6"/>
  <c r="H159" i="6"/>
  <c r="H161" i="6"/>
  <c r="H164" i="6"/>
  <c r="H165" i="6"/>
  <c r="H166" i="6"/>
  <c r="H167" i="6"/>
  <c r="H168" i="6"/>
  <c r="H169" i="6"/>
  <c r="H170" i="6"/>
  <c r="H171" i="6"/>
  <c r="H172" i="6"/>
  <c r="H173" i="6"/>
  <c r="H185" i="6"/>
  <c r="I160" i="8"/>
  <c r="I161" i="8" s="1"/>
  <c r="I167" i="8"/>
  <c r="I181" i="8"/>
  <c r="I96" i="26"/>
  <c r="I66" i="5"/>
  <c r="I102" i="26"/>
  <c r="I68" i="5"/>
  <c r="I108" i="26"/>
  <c r="I70" i="5"/>
  <c r="I114" i="26"/>
  <c r="I72" i="5"/>
  <c r="I120" i="26"/>
  <c r="I74" i="5"/>
  <c r="I126" i="26"/>
  <c r="I76" i="5"/>
  <c r="I132" i="26"/>
  <c r="I78" i="5"/>
  <c r="I138" i="26"/>
  <c r="I80" i="5"/>
  <c r="I144" i="26"/>
  <c r="I82" i="5"/>
  <c r="I150" i="26"/>
  <c r="I84" i="5"/>
  <c r="I150" i="6"/>
  <c r="I151" i="6"/>
  <c r="I152" i="6"/>
  <c r="I153" i="6"/>
  <c r="I154" i="6"/>
  <c r="I155" i="6"/>
  <c r="I156" i="6"/>
  <c r="I157" i="6"/>
  <c r="I158" i="6"/>
  <c r="I159" i="6"/>
  <c r="I161" i="6"/>
  <c r="I164" i="6"/>
  <c r="I165" i="6"/>
  <c r="I166" i="6"/>
  <c r="I167" i="6"/>
  <c r="I168" i="6"/>
  <c r="I169" i="6"/>
  <c r="I170" i="6"/>
  <c r="I171" i="6"/>
  <c r="I172" i="6"/>
  <c r="I173" i="6"/>
  <c r="I185" i="6"/>
  <c r="J160" i="8"/>
  <c r="J167" i="8"/>
  <c r="J181" i="8"/>
  <c r="J96" i="26"/>
  <c r="J66" i="5"/>
  <c r="J102" i="26"/>
  <c r="J68" i="5"/>
  <c r="J108" i="26"/>
  <c r="J70" i="5"/>
  <c r="J114" i="26"/>
  <c r="J72" i="5"/>
  <c r="J120" i="26"/>
  <c r="J74" i="5"/>
  <c r="J126" i="26"/>
  <c r="J76" i="5"/>
  <c r="J132" i="26"/>
  <c r="J78" i="5"/>
  <c r="J138" i="26"/>
  <c r="J80" i="5"/>
  <c r="J144" i="26"/>
  <c r="J82" i="5"/>
  <c r="J150" i="26"/>
  <c r="J84" i="5"/>
  <c r="J150" i="6"/>
  <c r="J151" i="6"/>
  <c r="J152" i="6"/>
  <c r="J153" i="6"/>
  <c r="J154" i="6"/>
  <c r="J155" i="6"/>
  <c r="J156" i="6"/>
  <c r="J157" i="6"/>
  <c r="J158" i="6"/>
  <c r="J159" i="6"/>
  <c r="J161" i="6"/>
  <c r="J164" i="6"/>
  <c r="J165" i="6"/>
  <c r="J166" i="6"/>
  <c r="J167" i="6"/>
  <c r="J168" i="6"/>
  <c r="J169" i="6"/>
  <c r="J170" i="6"/>
  <c r="J171" i="6"/>
  <c r="J172" i="6"/>
  <c r="J173" i="6"/>
  <c r="J185" i="6"/>
  <c r="K160" i="8"/>
  <c r="K167" i="8"/>
  <c r="K181" i="8"/>
  <c r="K96" i="26"/>
  <c r="K66" i="5"/>
  <c r="K102" i="26"/>
  <c r="K68" i="5"/>
  <c r="K108" i="26"/>
  <c r="K70" i="5"/>
  <c r="K114" i="26"/>
  <c r="K72" i="5"/>
  <c r="K120" i="26"/>
  <c r="K74" i="5"/>
  <c r="K126" i="26"/>
  <c r="K76" i="5"/>
  <c r="K132" i="26"/>
  <c r="K78" i="5"/>
  <c r="K138" i="26"/>
  <c r="K80" i="5"/>
  <c r="K144" i="26"/>
  <c r="K82" i="5"/>
  <c r="K150" i="26"/>
  <c r="K84" i="5"/>
  <c r="K150" i="6"/>
  <c r="K151" i="6"/>
  <c r="K152" i="6"/>
  <c r="K153" i="6"/>
  <c r="K154" i="6"/>
  <c r="K155" i="6"/>
  <c r="K156" i="6"/>
  <c r="K157" i="6"/>
  <c r="K158" i="6"/>
  <c r="K159" i="6"/>
  <c r="K161" i="6"/>
  <c r="K164" i="6"/>
  <c r="K165" i="6"/>
  <c r="K166" i="6"/>
  <c r="K167" i="6"/>
  <c r="K168" i="6"/>
  <c r="K169" i="6"/>
  <c r="K170" i="6"/>
  <c r="K171" i="6"/>
  <c r="K172" i="6"/>
  <c r="K173" i="6"/>
  <c r="K185" i="6"/>
  <c r="L160" i="8"/>
  <c r="L161" i="8" s="1"/>
  <c r="L167" i="8"/>
  <c r="L181" i="8"/>
  <c r="L96" i="26"/>
  <c r="L66" i="5"/>
  <c r="L102" i="26"/>
  <c r="L68" i="5"/>
  <c r="L108" i="26"/>
  <c r="L70" i="5"/>
  <c r="L114" i="26"/>
  <c r="L72" i="5"/>
  <c r="L120" i="26"/>
  <c r="L74" i="5"/>
  <c r="L126" i="26"/>
  <c r="L76" i="5"/>
  <c r="L132" i="26"/>
  <c r="L78" i="5"/>
  <c r="L138" i="26"/>
  <c r="L80" i="5"/>
  <c r="L144" i="26"/>
  <c r="L82" i="5"/>
  <c r="L150" i="26"/>
  <c r="L84" i="5"/>
  <c r="L150" i="6"/>
  <c r="L151" i="6"/>
  <c r="L152" i="6"/>
  <c r="L153" i="6"/>
  <c r="L154" i="6"/>
  <c r="L155" i="6"/>
  <c r="L156" i="6"/>
  <c r="L157" i="6"/>
  <c r="L158" i="6"/>
  <c r="L159" i="6"/>
  <c r="L161" i="6"/>
  <c r="L164" i="6"/>
  <c r="L165" i="6"/>
  <c r="L166" i="6"/>
  <c r="L167" i="6"/>
  <c r="L168" i="6"/>
  <c r="L169" i="6"/>
  <c r="L170" i="6"/>
  <c r="L171" i="6"/>
  <c r="L172" i="6"/>
  <c r="L173" i="6"/>
  <c r="L185" i="6"/>
  <c r="M160" i="8"/>
  <c r="M161" i="8" s="1"/>
  <c r="M167" i="8"/>
  <c r="M181" i="8"/>
  <c r="M96" i="26"/>
  <c r="M66" i="5"/>
  <c r="M102" i="26"/>
  <c r="M68" i="5"/>
  <c r="M108" i="26"/>
  <c r="M70" i="5"/>
  <c r="M114" i="26"/>
  <c r="M72" i="5"/>
  <c r="M120" i="26"/>
  <c r="M74" i="5"/>
  <c r="M126" i="26"/>
  <c r="M76" i="5"/>
  <c r="M132" i="26"/>
  <c r="M78" i="5"/>
  <c r="M138" i="26"/>
  <c r="M80" i="5"/>
  <c r="M144" i="26"/>
  <c r="M82" i="5"/>
  <c r="M150" i="26"/>
  <c r="M84" i="5"/>
  <c r="M150" i="6"/>
  <c r="M151" i="6"/>
  <c r="M152" i="6"/>
  <c r="M153" i="6"/>
  <c r="M154" i="6"/>
  <c r="M155" i="6"/>
  <c r="M156" i="6"/>
  <c r="M157" i="6"/>
  <c r="M158" i="6"/>
  <c r="M159" i="6"/>
  <c r="M161" i="6"/>
  <c r="M164" i="6"/>
  <c r="M165" i="6"/>
  <c r="M166" i="6"/>
  <c r="M167" i="6"/>
  <c r="M168" i="6"/>
  <c r="M169" i="6"/>
  <c r="M170" i="6"/>
  <c r="M171" i="6"/>
  <c r="M172" i="6"/>
  <c r="M173" i="6"/>
  <c r="M185" i="6"/>
  <c r="N160" i="8"/>
  <c r="N161" i="8" s="1"/>
  <c r="N167" i="8"/>
  <c r="N181" i="8"/>
  <c r="N96" i="26"/>
  <c r="N66" i="5"/>
  <c r="N102" i="26"/>
  <c r="N68" i="5"/>
  <c r="N108" i="26"/>
  <c r="N70" i="5"/>
  <c r="N114" i="26"/>
  <c r="N72" i="5"/>
  <c r="N120" i="26"/>
  <c r="N74" i="5"/>
  <c r="N126" i="26"/>
  <c r="N76" i="5"/>
  <c r="N132" i="26"/>
  <c r="N78" i="5"/>
  <c r="N138" i="26"/>
  <c r="N80" i="5"/>
  <c r="N144" i="26"/>
  <c r="N82" i="5"/>
  <c r="N150" i="26"/>
  <c r="N84" i="5"/>
  <c r="N150" i="6"/>
  <c r="N151" i="6"/>
  <c r="N152" i="6"/>
  <c r="N153" i="6"/>
  <c r="N154" i="6"/>
  <c r="N155" i="6"/>
  <c r="N156" i="6"/>
  <c r="N157" i="6"/>
  <c r="N158" i="6"/>
  <c r="N159" i="6"/>
  <c r="N161" i="6"/>
  <c r="N164" i="6"/>
  <c r="N165" i="6"/>
  <c r="N166" i="6"/>
  <c r="N167" i="6"/>
  <c r="N168" i="6"/>
  <c r="N169" i="6"/>
  <c r="N170" i="6"/>
  <c r="N171" i="6"/>
  <c r="N172" i="6"/>
  <c r="N173" i="6"/>
  <c r="N185" i="6"/>
  <c r="O160" i="8"/>
  <c r="O161" i="8" s="1"/>
  <c r="N104" i="11" s="1"/>
  <c r="O167" i="8"/>
  <c r="O181" i="8"/>
  <c r="O96" i="26"/>
  <c r="O66" i="5"/>
  <c r="O102" i="26"/>
  <c r="O68" i="5"/>
  <c r="O108" i="26"/>
  <c r="O70" i="5"/>
  <c r="O114" i="26"/>
  <c r="O72" i="5"/>
  <c r="O120" i="26"/>
  <c r="O74" i="5"/>
  <c r="O126" i="26"/>
  <c r="O76" i="5"/>
  <c r="O132" i="26"/>
  <c r="O78" i="5"/>
  <c r="O138" i="26"/>
  <c r="O80" i="5"/>
  <c r="O144" i="26"/>
  <c r="O82" i="5"/>
  <c r="O150" i="26"/>
  <c r="O84" i="5"/>
  <c r="O150" i="6"/>
  <c r="O151" i="6"/>
  <c r="O152" i="6"/>
  <c r="O153" i="6"/>
  <c r="O154" i="6"/>
  <c r="O155" i="6"/>
  <c r="O156" i="6"/>
  <c r="O157" i="6"/>
  <c r="O158" i="6"/>
  <c r="O159" i="6"/>
  <c r="O161" i="6"/>
  <c r="O164" i="6"/>
  <c r="O165" i="6"/>
  <c r="O166" i="6"/>
  <c r="O167" i="6"/>
  <c r="O168" i="6"/>
  <c r="O169" i="6"/>
  <c r="O170" i="6"/>
  <c r="O171" i="6"/>
  <c r="O172" i="6"/>
  <c r="O173" i="6"/>
  <c r="O185" i="6"/>
  <c r="P160" i="8"/>
  <c r="P161" i="8"/>
  <c r="P184" i="8"/>
  <c r="P188" i="8"/>
  <c r="Q188" i="8"/>
  <c r="E22" i="8"/>
  <c r="P201" i="8"/>
  <c r="E80" i="8"/>
  <c r="D33" i="26"/>
  <c r="D39" i="26"/>
  <c r="D45" i="26"/>
  <c r="D51" i="26"/>
  <c r="D57" i="26"/>
  <c r="D63" i="26"/>
  <c r="D69" i="26"/>
  <c r="D75" i="26"/>
  <c r="D81" i="26"/>
  <c r="D87" i="26"/>
  <c r="C120" i="6"/>
  <c r="C121" i="6"/>
  <c r="C122" i="6"/>
  <c r="C123" i="6"/>
  <c r="C124" i="6"/>
  <c r="C125" i="6"/>
  <c r="D127" i="6"/>
  <c r="D68" i="36"/>
  <c r="D70" i="36"/>
  <c r="M68" i="36"/>
  <c r="M70" i="36"/>
  <c r="AE89" i="23"/>
  <c r="AE90" i="23"/>
  <c r="AE93" i="23"/>
  <c r="AE98" i="23"/>
  <c r="AN89" i="23"/>
  <c r="AN90" i="23"/>
  <c r="AN93" i="23"/>
  <c r="AN98" i="23"/>
  <c r="F80" i="8"/>
  <c r="E33" i="26"/>
  <c r="E39" i="26"/>
  <c r="E45" i="26"/>
  <c r="E51" i="26"/>
  <c r="E57" i="26"/>
  <c r="E63" i="26"/>
  <c r="E69" i="26"/>
  <c r="E75" i="26"/>
  <c r="E81" i="26"/>
  <c r="E87" i="26"/>
  <c r="E127" i="6"/>
  <c r="G80" i="8"/>
  <c r="F33" i="26"/>
  <c r="F39" i="26"/>
  <c r="F45" i="26"/>
  <c r="F51" i="26"/>
  <c r="F57" i="26"/>
  <c r="F63" i="26"/>
  <c r="F69" i="26"/>
  <c r="F75" i="26"/>
  <c r="F81" i="26"/>
  <c r="F87" i="26"/>
  <c r="F127" i="6"/>
  <c r="H80" i="8"/>
  <c r="G33" i="26"/>
  <c r="G39" i="26"/>
  <c r="G45" i="26"/>
  <c r="G51" i="26"/>
  <c r="G57" i="26"/>
  <c r="G63" i="26"/>
  <c r="G69" i="26"/>
  <c r="G75" i="26"/>
  <c r="G81" i="26"/>
  <c r="G87" i="26"/>
  <c r="G127" i="6"/>
  <c r="I80" i="8"/>
  <c r="H33" i="26"/>
  <c r="H39" i="26"/>
  <c r="H45" i="26"/>
  <c r="H51" i="26"/>
  <c r="H57" i="26"/>
  <c r="H63" i="26"/>
  <c r="H69" i="26"/>
  <c r="H75" i="26"/>
  <c r="H81" i="26"/>
  <c r="H87" i="26"/>
  <c r="H127" i="6"/>
  <c r="J80" i="8"/>
  <c r="I33" i="26"/>
  <c r="I39" i="26"/>
  <c r="I45" i="26"/>
  <c r="I51" i="26"/>
  <c r="I57" i="26"/>
  <c r="I63" i="26"/>
  <c r="I69" i="26"/>
  <c r="I75" i="26"/>
  <c r="I81" i="26"/>
  <c r="I87" i="26"/>
  <c r="I127" i="6"/>
  <c r="K80" i="8"/>
  <c r="J33" i="26"/>
  <c r="J39" i="26"/>
  <c r="J45" i="26"/>
  <c r="J51" i="26"/>
  <c r="J57" i="26"/>
  <c r="J63" i="26"/>
  <c r="J69" i="26"/>
  <c r="J75" i="26"/>
  <c r="J81" i="26"/>
  <c r="J87" i="26"/>
  <c r="J127" i="6"/>
  <c r="L80" i="8"/>
  <c r="K33" i="26"/>
  <c r="K39" i="26"/>
  <c r="K45" i="26"/>
  <c r="K51" i="26"/>
  <c r="K57" i="26"/>
  <c r="K63" i="26"/>
  <c r="K69" i="26"/>
  <c r="K75" i="26"/>
  <c r="K81" i="26"/>
  <c r="K87" i="26"/>
  <c r="K127" i="6"/>
  <c r="M80" i="8"/>
  <c r="L33" i="26"/>
  <c r="L39" i="26"/>
  <c r="L45" i="26"/>
  <c r="L51" i="26"/>
  <c r="L57" i="26"/>
  <c r="L63" i="26"/>
  <c r="L69" i="26"/>
  <c r="L75" i="26"/>
  <c r="L81" i="26"/>
  <c r="L87" i="26"/>
  <c r="L127" i="6"/>
  <c r="N80" i="8"/>
  <c r="M33" i="26"/>
  <c r="M39" i="26"/>
  <c r="M45" i="26"/>
  <c r="M51" i="26"/>
  <c r="M57" i="26"/>
  <c r="M63" i="26"/>
  <c r="M69" i="26"/>
  <c r="M75" i="26"/>
  <c r="M81" i="26"/>
  <c r="M87" i="26"/>
  <c r="M127" i="6"/>
  <c r="O80" i="8"/>
  <c r="N33" i="26"/>
  <c r="N39" i="26"/>
  <c r="N45" i="26"/>
  <c r="N51" i="26"/>
  <c r="N57" i="26"/>
  <c r="N63" i="26"/>
  <c r="N69" i="26"/>
  <c r="N75" i="26"/>
  <c r="N81" i="26"/>
  <c r="N87" i="26"/>
  <c r="N127" i="6"/>
  <c r="P80" i="8"/>
  <c r="O33" i="26"/>
  <c r="O39" i="26"/>
  <c r="O45" i="26"/>
  <c r="O51" i="26"/>
  <c r="O57" i="26"/>
  <c r="O63" i="26"/>
  <c r="O69" i="26"/>
  <c r="O75" i="26"/>
  <c r="O81" i="26"/>
  <c r="O87" i="26"/>
  <c r="O127" i="6"/>
  <c r="F234" i="26"/>
  <c r="F235" i="26"/>
  <c r="F236" i="26"/>
  <c r="F73" i="20" s="1"/>
  <c r="D81" i="24" s="1"/>
  <c r="F237" i="26"/>
  <c r="F238" i="26"/>
  <c r="F239" i="26"/>
  <c r="F240" i="26"/>
  <c r="F241" i="26"/>
  <c r="F242" i="26"/>
  <c r="F243" i="26"/>
  <c r="Q80" i="8"/>
  <c r="Q81" i="8"/>
  <c r="Q86" i="8"/>
  <c r="Q88" i="8"/>
  <c r="Q110" i="8"/>
  <c r="R110" i="8"/>
  <c r="D22" i="8"/>
  <c r="D80" i="8"/>
  <c r="D81" i="8"/>
  <c r="D88" i="8"/>
  <c r="D102" i="8"/>
  <c r="D66" i="8"/>
  <c r="D72" i="8"/>
  <c r="G35" i="84"/>
  <c r="D35" i="84"/>
  <c r="P246" i="8"/>
  <c r="P260" i="8"/>
  <c r="P194" i="8"/>
  <c r="P203" i="8"/>
  <c r="D60" i="8"/>
  <c r="D63" i="8"/>
  <c r="D75" i="24"/>
  <c r="D90" i="8"/>
  <c r="D61" i="24"/>
  <c r="C98" i="9"/>
  <c r="D16" i="9"/>
  <c r="D58" i="9"/>
  <c r="C99" i="9"/>
  <c r="D17" i="9"/>
  <c r="D59" i="9"/>
  <c r="C100" i="9"/>
  <c r="D18" i="9"/>
  <c r="D60" i="9"/>
  <c r="C101" i="9"/>
  <c r="D19" i="9"/>
  <c r="D61" i="9"/>
  <c r="D81" i="9"/>
  <c r="D101" i="9"/>
  <c r="C102" i="9"/>
  <c r="D20" i="9"/>
  <c r="D62" i="9"/>
  <c r="D82" i="9"/>
  <c r="D102" i="9"/>
  <c r="C103" i="9"/>
  <c r="D21" i="9"/>
  <c r="D63" i="9"/>
  <c r="D83" i="9"/>
  <c r="D103" i="9"/>
  <c r="C104" i="9"/>
  <c r="D22" i="9"/>
  <c r="D64" i="9"/>
  <c r="D84" i="9"/>
  <c r="D104" i="9"/>
  <c r="D15" i="9"/>
  <c r="D57" i="9"/>
  <c r="C34" i="9"/>
  <c r="C121" i="9"/>
  <c r="D34" i="9"/>
  <c r="D121" i="9"/>
  <c r="D142" i="9"/>
  <c r="D163" i="9"/>
  <c r="C35" i="9"/>
  <c r="C122" i="9"/>
  <c r="D35" i="9"/>
  <c r="D122" i="9"/>
  <c r="D143" i="9"/>
  <c r="D164" i="9"/>
  <c r="C36" i="9"/>
  <c r="C123" i="9"/>
  <c r="D36" i="9"/>
  <c r="D123" i="9"/>
  <c r="C37" i="9"/>
  <c r="C124" i="9"/>
  <c r="C145" i="9"/>
  <c r="C166" i="9"/>
  <c r="D37" i="9"/>
  <c r="D124" i="9"/>
  <c r="D145" i="9"/>
  <c r="D166" i="9"/>
  <c r="C38" i="9"/>
  <c r="C125" i="9"/>
  <c r="C146" i="9"/>
  <c r="C167" i="9"/>
  <c r="D38" i="9"/>
  <c r="D125" i="9"/>
  <c r="D146" i="9"/>
  <c r="D167" i="9"/>
  <c r="C39" i="9"/>
  <c r="C126" i="9"/>
  <c r="C147" i="9"/>
  <c r="C168" i="9"/>
  <c r="D39" i="9"/>
  <c r="D126" i="9"/>
  <c r="D147" i="9"/>
  <c r="D168" i="9"/>
  <c r="C40" i="9"/>
  <c r="C127" i="9"/>
  <c r="C148" i="9"/>
  <c r="D40" i="9"/>
  <c r="D127" i="9"/>
  <c r="D148" i="9"/>
  <c r="D169" i="9"/>
  <c r="D33" i="9"/>
  <c r="D120" i="9"/>
  <c r="D141" i="9"/>
  <c r="D162" i="9"/>
  <c r="C5" i="52"/>
  <c r="H14" i="52"/>
  <c r="I14" i="52"/>
  <c r="J14" i="52"/>
  <c r="C58" i="9"/>
  <c r="C78" i="9"/>
  <c r="C59" i="9"/>
  <c r="C79" i="9"/>
  <c r="C60" i="9"/>
  <c r="C61" i="9"/>
  <c r="C81" i="9"/>
  <c r="C62" i="9"/>
  <c r="C82" i="9"/>
  <c r="C63" i="9"/>
  <c r="C83" i="9"/>
  <c r="C64" i="9"/>
  <c r="H115" i="24"/>
  <c r="AN92" i="23"/>
  <c r="AW92" i="23"/>
  <c r="AX92" i="23"/>
  <c r="K116" i="24"/>
  <c r="F33" i="20"/>
  <c r="F34" i="20"/>
  <c r="F35" i="20"/>
  <c r="F37" i="20"/>
  <c r="F38" i="20"/>
  <c r="F39" i="20"/>
  <c r="F41" i="20"/>
  <c r="F42" i="20"/>
  <c r="F43" i="20"/>
  <c r="F36" i="20"/>
  <c r="F40" i="20"/>
  <c r="F44" i="20"/>
  <c r="F20" i="20"/>
  <c r="F19" i="20"/>
  <c r="F21" i="20"/>
  <c r="F22" i="20"/>
  <c r="F23" i="20"/>
  <c r="F24" i="20"/>
  <c r="F25" i="20"/>
  <c r="F26" i="20"/>
  <c r="F27" i="20"/>
  <c r="F28" i="20"/>
  <c r="F29" i="20"/>
  <c r="F30" i="20"/>
  <c r="F47" i="20"/>
  <c r="F48" i="20"/>
  <c r="F49" i="20"/>
  <c r="F94" i="20"/>
  <c r="F62" i="20"/>
  <c r="F60" i="20"/>
  <c r="F61" i="20"/>
  <c r="F63" i="20"/>
  <c r="F64" i="20"/>
  <c r="F65" i="20"/>
  <c r="F66" i="20"/>
  <c r="F67" i="20"/>
  <c r="C144" i="6"/>
  <c r="D144" i="6"/>
  <c r="E144" i="6"/>
  <c r="F144" i="6"/>
  <c r="G144" i="6"/>
  <c r="H144" i="6"/>
  <c r="I144" i="6"/>
  <c r="J144" i="6"/>
  <c r="K144" i="6"/>
  <c r="L144" i="6"/>
  <c r="M144" i="6"/>
  <c r="N144" i="6"/>
  <c r="P144" i="6"/>
  <c r="O144" i="6"/>
  <c r="C202" i="6"/>
  <c r="D202" i="6"/>
  <c r="E202" i="6"/>
  <c r="F202" i="6"/>
  <c r="G202" i="6"/>
  <c r="H202" i="6"/>
  <c r="I202" i="6"/>
  <c r="J202" i="6"/>
  <c r="K202" i="6"/>
  <c r="L202" i="6"/>
  <c r="M202" i="6"/>
  <c r="N202" i="6"/>
  <c r="P202" i="6"/>
  <c r="O202" i="6"/>
  <c r="C261" i="6"/>
  <c r="D261" i="6"/>
  <c r="E261" i="6"/>
  <c r="F261" i="6"/>
  <c r="G261" i="6"/>
  <c r="H261" i="6"/>
  <c r="I261" i="6"/>
  <c r="J261" i="6"/>
  <c r="K261" i="6"/>
  <c r="L261" i="6"/>
  <c r="M261" i="6"/>
  <c r="N261" i="6"/>
  <c r="P261" i="6"/>
  <c r="O261" i="6"/>
  <c r="D10" i="84"/>
  <c r="C284" i="8"/>
  <c r="C206" i="8"/>
  <c r="C128" i="8"/>
  <c r="AW89" i="23"/>
  <c r="AW90" i="23"/>
  <c r="AW91" i="23" s="1"/>
  <c r="H40" i="24"/>
  <c r="H55" i="24"/>
  <c r="D40" i="24"/>
  <c r="D55" i="24"/>
  <c r="B6" i="6"/>
  <c r="V90" i="23"/>
  <c r="V110" i="23"/>
  <c r="G120" i="24"/>
  <c r="D13" i="52"/>
  <c r="H119" i="24"/>
  <c r="C19" i="52"/>
  <c r="C137" i="52"/>
  <c r="H120" i="24"/>
  <c r="D19" i="52"/>
  <c r="E137" i="52"/>
  <c r="D15" i="52"/>
  <c r="C15" i="52"/>
  <c r="G119" i="24"/>
  <c r="I119" i="24"/>
  <c r="C13" i="52"/>
  <c r="G44" i="9"/>
  <c r="H126" i="24"/>
  <c r="J126" i="24"/>
  <c r="H127" i="24"/>
  <c r="J128" i="24"/>
  <c r="V69" i="36"/>
  <c r="C1" i="11"/>
  <c r="C65" i="11"/>
  <c r="E14" i="52"/>
  <c r="E13" i="52"/>
  <c r="F14" i="52"/>
  <c r="F13" i="52"/>
  <c r="P66" i="11"/>
  <c r="D29" i="11"/>
  <c r="P69" i="11"/>
  <c r="D32" i="11"/>
  <c r="D101" i="24"/>
  <c r="F95" i="20"/>
  <c r="F96" i="20"/>
  <c r="F97" i="20"/>
  <c r="L111" i="24"/>
  <c r="F110" i="20"/>
  <c r="F111" i="20"/>
  <c r="C19" i="11"/>
  <c r="C22" i="11"/>
  <c r="D91" i="5"/>
  <c r="D93" i="5"/>
  <c r="D95" i="5"/>
  <c r="D97" i="5"/>
  <c r="D99" i="5"/>
  <c r="D101" i="5"/>
  <c r="D103" i="5"/>
  <c r="D105" i="5"/>
  <c r="D107" i="5"/>
  <c r="D109" i="5"/>
  <c r="E91" i="5"/>
  <c r="E93" i="5"/>
  <c r="E95" i="5"/>
  <c r="E97" i="5"/>
  <c r="E99" i="5"/>
  <c r="E101" i="5"/>
  <c r="E103" i="5"/>
  <c r="E105" i="5"/>
  <c r="E107" i="5"/>
  <c r="E109" i="5"/>
  <c r="F91" i="5"/>
  <c r="F93" i="5"/>
  <c r="F95" i="5"/>
  <c r="F97" i="5"/>
  <c r="F99" i="5"/>
  <c r="F101" i="5"/>
  <c r="F103" i="5"/>
  <c r="F105" i="5"/>
  <c r="F107" i="5"/>
  <c r="F109" i="5"/>
  <c r="G91" i="5"/>
  <c r="G93" i="5"/>
  <c r="G95" i="5"/>
  <c r="G97" i="5"/>
  <c r="G99" i="5"/>
  <c r="G101" i="5"/>
  <c r="G103" i="5"/>
  <c r="G105" i="5"/>
  <c r="G107" i="5"/>
  <c r="G109" i="5"/>
  <c r="H91" i="5"/>
  <c r="H93" i="5"/>
  <c r="H95" i="5"/>
  <c r="H97" i="5"/>
  <c r="H99" i="5"/>
  <c r="H101" i="5"/>
  <c r="H103" i="5"/>
  <c r="H105" i="5"/>
  <c r="H107" i="5"/>
  <c r="H109" i="5"/>
  <c r="I91" i="5"/>
  <c r="I93" i="5"/>
  <c r="I95" i="5"/>
  <c r="I97" i="5"/>
  <c r="I99" i="5"/>
  <c r="I101" i="5"/>
  <c r="I103" i="5"/>
  <c r="I105" i="5"/>
  <c r="I107" i="5"/>
  <c r="I109" i="5"/>
  <c r="J91" i="5"/>
  <c r="J93" i="5"/>
  <c r="J95" i="5"/>
  <c r="J97" i="5"/>
  <c r="J99" i="5"/>
  <c r="J101" i="5"/>
  <c r="J103" i="5"/>
  <c r="J105" i="5"/>
  <c r="J107" i="5"/>
  <c r="J109" i="5"/>
  <c r="K91" i="5"/>
  <c r="K93" i="5"/>
  <c r="K95" i="5"/>
  <c r="K97" i="5"/>
  <c r="K99" i="5"/>
  <c r="K101" i="5"/>
  <c r="K103" i="5"/>
  <c r="K105" i="5"/>
  <c r="K107" i="5"/>
  <c r="K109" i="5"/>
  <c r="L91" i="5"/>
  <c r="L93" i="5"/>
  <c r="L95" i="5"/>
  <c r="L97" i="5"/>
  <c r="L99" i="5"/>
  <c r="L101" i="5"/>
  <c r="L103" i="5"/>
  <c r="L105" i="5"/>
  <c r="L107" i="5"/>
  <c r="L109" i="5"/>
  <c r="M91" i="5"/>
  <c r="M93" i="5"/>
  <c r="M95" i="5"/>
  <c r="M97" i="5"/>
  <c r="M99" i="5"/>
  <c r="M101" i="5"/>
  <c r="M103" i="5"/>
  <c r="M105" i="5"/>
  <c r="M107" i="5"/>
  <c r="M109" i="5"/>
  <c r="N91" i="5"/>
  <c r="N93" i="5"/>
  <c r="N95" i="5"/>
  <c r="N97" i="5"/>
  <c r="N99" i="5"/>
  <c r="N101" i="5"/>
  <c r="N103" i="5"/>
  <c r="N105" i="5"/>
  <c r="N107" i="5"/>
  <c r="N109" i="5"/>
  <c r="O91" i="5"/>
  <c r="O93" i="5"/>
  <c r="O95" i="5"/>
  <c r="O97" i="5"/>
  <c r="O99" i="5"/>
  <c r="O101" i="5"/>
  <c r="O103" i="5"/>
  <c r="O105" i="5"/>
  <c r="O107" i="5"/>
  <c r="O109" i="5"/>
  <c r="C36" i="10"/>
  <c r="E36" i="10"/>
  <c r="D65" i="5"/>
  <c r="D67" i="5"/>
  <c r="D69" i="5"/>
  <c r="D71" i="5"/>
  <c r="D73" i="5"/>
  <c r="D75" i="5"/>
  <c r="D77" i="5"/>
  <c r="D79" i="5"/>
  <c r="D81" i="5"/>
  <c r="D83" i="5"/>
  <c r="E65" i="5"/>
  <c r="E67" i="5"/>
  <c r="E69" i="5"/>
  <c r="E71" i="5"/>
  <c r="E73" i="5"/>
  <c r="E75" i="5"/>
  <c r="E77" i="5"/>
  <c r="E79" i="5"/>
  <c r="E81" i="5"/>
  <c r="E83" i="5"/>
  <c r="F65" i="5"/>
  <c r="F67" i="5"/>
  <c r="F69" i="5"/>
  <c r="F71" i="5"/>
  <c r="F73" i="5"/>
  <c r="F75" i="5"/>
  <c r="F77" i="5"/>
  <c r="F79" i="5"/>
  <c r="F81" i="5"/>
  <c r="F83" i="5"/>
  <c r="G65" i="5"/>
  <c r="G67" i="5"/>
  <c r="G69" i="5"/>
  <c r="G71" i="5"/>
  <c r="G73" i="5"/>
  <c r="G75" i="5"/>
  <c r="G77" i="5"/>
  <c r="G79" i="5"/>
  <c r="G81" i="5"/>
  <c r="G83" i="5"/>
  <c r="H65" i="5"/>
  <c r="H67" i="5"/>
  <c r="H69" i="5"/>
  <c r="H71" i="5"/>
  <c r="H73" i="5"/>
  <c r="H75" i="5"/>
  <c r="H77" i="5"/>
  <c r="H79" i="5"/>
  <c r="H81" i="5"/>
  <c r="H83" i="5"/>
  <c r="I65" i="5"/>
  <c r="I67" i="5"/>
  <c r="I69" i="5"/>
  <c r="I71" i="5"/>
  <c r="I73" i="5"/>
  <c r="I75" i="5"/>
  <c r="I77" i="5"/>
  <c r="I79" i="5"/>
  <c r="I81" i="5"/>
  <c r="I83" i="5"/>
  <c r="J65" i="5"/>
  <c r="J67" i="5"/>
  <c r="J69" i="5"/>
  <c r="J71" i="5"/>
  <c r="J73" i="5"/>
  <c r="J75" i="5"/>
  <c r="J77" i="5"/>
  <c r="J79" i="5"/>
  <c r="J81" i="5"/>
  <c r="J83" i="5"/>
  <c r="K65" i="5"/>
  <c r="K67" i="5"/>
  <c r="K69" i="5"/>
  <c r="K71" i="5"/>
  <c r="K73" i="5"/>
  <c r="K75" i="5"/>
  <c r="K77" i="5"/>
  <c r="K79" i="5"/>
  <c r="K81" i="5"/>
  <c r="K83" i="5"/>
  <c r="L65" i="5"/>
  <c r="L67" i="5"/>
  <c r="L69" i="5"/>
  <c r="L71" i="5"/>
  <c r="L73" i="5"/>
  <c r="L75" i="5"/>
  <c r="L77" i="5"/>
  <c r="L79" i="5"/>
  <c r="L81" i="5"/>
  <c r="L83" i="5"/>
  <c r="M65" i="5"/>
  <c r="M67" i="5"/>
  <c r="M69" i="5"/>
  <c r="M71" i="5"/>
  <c r="M73" i="5"/>
  <c r="M75" i="5"/>
  <c r="M77" i="5"/>
  <c r="M79" i="5"/>
  <c r="M81" i="5"/>
  <c r="M83" i="5"/>
  <c r="N65" i="5"/>
  <c r="N67" i="5"/>
  <c r="N69" i="5"/>
  <c r="N71" i="5"/>
  <c r="N73" i="5"/>
  <c r="N75" i="5"/>
  <c r="N77" i="5"/>
  <c r="N79" i="5"/>
  <c r="N81" i="5"/>
  <c r="N83" i="5"/>
  <c r="O65" i="5"/>
  <c r="O67" i="5"/>
  <c r="O69" i="5"/>
  <c r="O71" i="5"/>
  <c r="O73" i="5"/>
  <c r="O75" i="5"/>
  <c r="O77" i="5"/>
  <c r="O79" i="5"/>
  <c r="O81" i="5"/>
  <c r="O83" i="5"/>
  <c r="F44" i="9"/>
  <c r="E44" i="9"/>
  <c r="Q123" i="8"/>
  <c r="C16" i="52"/>
  <c r="C1" i="9"/>
  <c r="B4" i="9"/>
  <c r="C16" i="9"/>
  <c r="C17" i="9"/>
  <c r="C18" i="9"/>
  <c r="C19" i="9"/>
  <c r="C20" i="9"/>
  <c r="C21" i="9"/>
  <c r="C22" i="9"/>
  <c r="E262" i="26"/>
  <c r="D23" i="9"/>
  <c r="D65" i="9"/>
  <c r="B28" i="9"/>
  <c r="B31" i="9"/>
  <c r="B32" i="9"/>
  <c r="D32" i="9"/>
  <c r="B33" i="9"/>
  <c r="B34" i="9"/>
  <c r="B35" i="9"/>
  <c r="B36" i="9"/>
  <c r="B37" i="9"/>
  <c r="B38" i="9"/>
  <c r="B39" i="9"/>
  <c r="B40" i="9"/>
  <c r="C41" i="9"/>
  <c r="E274" i="26"/>
  <c r="D41" i="9"/>
  <c r="D128" i="9"/>
  <c r="D149" i="9"/>
  <c r="D170" i="9"/>
  <c r="B65" i="9"/>
  <c r="B85" i="9"/>
  <c r="B105" i="9"/>
  <c r="B77" i="9"/>
  <c r="B97" i="9"/>
  <c r="B128" i="9"/>
  <c r="B149" i="9"/>
  <c r="B170" i="9"/>
  <c r="B30" i="26"/>
  <c r="B12" i="5"/>
  <c r="B39" i="5"/>
  <c r="B65" i="5"/>
  <c r="B91" i="5"/>
  <c r="B36" i="26"/>
  <c r="B42" i="26"/>
  <c r="B48" i="26"/>
  <c r="B16" i="6"/>
  <c r="B54" i="26"/>
  <c r="B60" i="26"/>
  <c r="B66" i="26"/>
  <c r="B72" i="26"/>
  <c r="B78" i="26"/>
  <c r="B84" i="26"/>
  <c r="B28" i="6"/>
  <c r="D28" i="6"/>
  <c r="B29" i="6"/>
  <c r="D29" i="6"/>
  <c r="B30" i="6"/>
  <c r="D30" i="6"/>
  <c r="B31" i="6"/>
  <c r="D31" i="6"/>
  <c r="B32" i="6"/>
  <c r="B182" i="6"/>
  <c r="D32" i="6"/>
  <c r="B33" i="6"/>
  <c r="D33" i="6"/>
  <c r="B102" i="6"/>
  <c r="B143" i="6"/>
  <c r="B201" i="6"/>
  <c r="B260" i="6"/>
  <c r="B103" i="6"/>
  <c r="B116" i="6"/>
  <c r="B117" i="6"/>
  <c r="B126" i="6"/>
  <c r="B127" i="6"/>
  <c r="B128" i="6"/>
  <c r="B130" i="6"/>
  <c r="B160" i="6"/>
  <c r="B161" i="6"/>
  <c r="B174" i="6"/>
  <c r="B175" i="6"/>
  <c r="B184" i="6"/>
  <c r="B185" i="6"/>
  <c r="B186" i="6"/>
  <c r="B188" i="6"/>
  <c r="B190" i="6"/>
  <c r="B249" i="6"/>
  <c r="B218" i="6"/>
  <c r="B219" i="6"/>
  <c r="B220" i="6"/>
  <c r="B232" i="6"/>
  <c r="B233" i="6"/>
  <c r="B242" i="6"/>
  <c r="B243" i="6"/>
  <c r="B244" i="6"/>
  <c r="B246" i="6"/>
  <c r="B4" i="5"/>
  <c r="C39" i="5"/>
  <c r="C40" i="5"/>
  <c r="C41" i="5"/>
  <c r="C42" i="5"/>
  <c r="C43" i="5"/>
  <c r="C44" i="5"/>
  <c r="C45" i="5"/>
  <c r="C46" i="5"/>
  <c r="C47" i="5"/>
  <c r="C48" i="5"/>
  <c r="C49" i="5"/>
  <c r="C50" i="5"/>
  <c r="C51" i="5"/>
  <c r="C52" i="5"/>
  <c r="C53" i="5"/>
  <c r="C54" i="5"/>
  <c r="C55" i="5"/>
  <c r="C56" i="5"/>
  <c r="C57" i="5"/>
  <c r="C58" i="5"/>
  <c r="B59" i="5"/>
  <c r="B60" i="5"/>
  <c r="C65" i="5"/>
  <c r="C66" i="5"/>
  <c r="C67" i="5"/>
  <c r="C68" i="5"/>
  <c r="C69" i="5"/>
  <c r="C70" i="5"/>
  <c r="C71" i="5"/>
  <c r="C72" i="5"/>
  <c r="C73" i="5"/>
  <c r="C74" i="5"/>
  <c r="C75" i="5"/>
  <c r="C76" i="5"/>
  <c r="C77" i="5"/>
  <c r="C78" i="5"/>
  <c r="C79" i="5"/>
  <c r="C80" i="5"/>
  <c r="C81" i="5"/>
  <c r="C82" i="5"/>
  <c r="C83" i="5"/>
  <c r="C84" i="5"/>
  <c r="B85" i="5"/>
  <c r="B86" i="5"/>
  <c r="C91" i="5"/>
  <c r="C92" i="5"/>
  <c r="C93" i="5"/>
  <c r="C94" i="5"/>
  <c r="C95" i="5"/>
  <c r="C96" i="5"/>
  <c r="C97" i="5"/>
  <c r="C98" i="5"/>
  <c r="C99" i="5"/>
  <c r="C100" i="5"/>
  <c r="C101" i="5"/>
  <c r="C102" i="5"/>
  <c r="C103" i="5"/>
  <c r="C104" i="5"/>
  <c r="C105" i="5"/>
  <c r="C106" i="5"/>
  <c r="C107" i="5"/>
  <c r="C108" i="5"/>
  <c r="C109" i="5"/>
  <c r="C110" i="5"/>
  <c r="B111" i="5"/>
  <c r="B112" i="5"/>
  <c r="B3" i="16"/>
  <c r="C11" i="52"/>
  <c r="D11" i="52"/>
  <c r="E11" i="52"/>
  <c r="F11" i="52"/>
  <c r="H11" i="52"/>
  <c r="I11" i="52"/>
  <c r="J11" i="52"/>
  <c r="C14" i="52"/>
  <c r="C20" i="52"/>
  <c r="D14" i="52"/>
  <c r="D16" i="52"/>
  <c r="E22" i="52"/>
  <c r="F22" i="52"/>
  <c r="E23" i="52"/>
  <c r="F23" i="52"/>
  <c r="E24" i="52"/>
  <c r="F24" i="52"/>
  <c r="E25" i="52"/>
  <c r="F25" i="52"/>
  <c r="B138" i="52"/>
  <c r="E138" i="52"/>
  <c r="B3" i="36"/>
  <c r="B66" i="36"/>
  <c r="G20" i="36"/>
  <c r="K66" i="36"/>
  <c r="J20" i="36"/>
  <c r="T66" i="36"/>
  <c r="M20" i="36"/>
  <c r="V68" i="36"/>
  <c r="V70" i="36"/>
  <c r="V75" i="36"/>
  <c r="K86" i="36"/>
  <c r="T86" i="36"/>
  <c r="T87" i="36"/>
  <c r="K87" i="36"/>
  <c r="B3" i="23"/>
  <c r="B88" i="23"/>
  <c r="G30" i="23"/>
  <c r="K88" i="23"/>
  <c r="K30" i="23"/>
  <c r="T88" i="23"/>
  <c r="O30" i="23"/>
  <c r="AC87" i="23"/>
  <c r="Y30" i="23"/>
  <c r="AL87" i="23"/>
  <c r="AC30" i="23"/>
  <c r="AU87" i="23"/>
  <c r="AG30" i="23"/>
  <c r="V92" i="23"/>
  <c r="AW93" i="23"/>
  <c r="AW98" i="23"/>
  <c r="V95" i="23"/>
  <c r="K111" i="23"/>
  <c r="T111" i="23"/>
  <c r="AC111" i="23"/>
  <c r="AL111" i="23"/>
  <c r="AU111" i="23"/>
  <c r="T112" i="23"/>
  <c r="B4" i="19"/>
  <c r="B13" i="19"/>
  <c r="B14" i="19"/>
  <c r="B15" i="19"/>
  <c r="B16" i="19"/>
  <c r="B17" i="19"/>
  <c r="B18" i="19"/>
  <c r="B19" i="19"/>
  <c r="B20" i="19"/>
  <c r="B21" i="19"/>
  <c r="B22" i="19"/>
  <c r="B23" i="19"/>
  <c r="B24" i="19"/>
  <c r="B27" i="19"/>
  <c r="B28" i="19"/>
  <c r="B29" i="19"/>
  <c r="B30" i="19"/>
  <c r="B31" i="19"/>
  <c r="B32" i="19"/>
  <c r="B33" i="19"/>
  <c r="B34" i="19"/>
  <c r="B35" i="19"/>
  <c r="B4" i="11"/>
  <c r="B19" i="11"/>
  <c r="B56" i="11"/>
  <c r="B20" i="11"/>
  <c r="B57" i="11"/>
  <c r="B21" i="11"/>
  <c r="B58" i="11"/>
  <c r="B22" i="11"/>
  <c r="B59" i="11"/>
  <c r="B54" i="11"/>
  <c r="B55" i="11"/>
  <c r="B60" i="11"/>
  <c r="B61" i="11"/>
  <c r="B133" i="11"/>
  <c r="B90" i="11"/>
  <c r="B91" i="11"/>
  <c r="B98" i="11"/>
  <c r="B99" i="11"/>
  <c r="B126" i="11"/>
  <c r="B127" i="11"/>
  <c r="B134" i="11"/>
  <c r="B135" i="11"/>
  <c r="B7" i="10"/>
  <c r="R61" i="8"/>
  <c r="D18" i="8"/>
  <c r="Q141" i="8"/>
  <c r="E18" i="8"/>
  <c r="Q219" i="8"/>
  <c r="F18" i="8"/>
  <c r="Q101" i="8"/>
  <c r="Q103" i="8"/>
  <c r="B7" i="8"/>
  <c r="Q116" i="8"/>
  <c r="B52" i="8"/>
  <c r="B53" i="8"/>
  <c r="B65" i="8"/>
  <c r="B13" i="25"/>
  <c r="C66" i="8"/>
  <c r="C67" i="8"/>
  <c r="C147" i="8"/>
  <c r="C68" i="8"/>
  <c r="C69" i="8"/>
  <c r="C227" i="8"/>
  <c r="C70" i="8"/>
  <c r="C228" i="8"/>
  <c r="C71" i="8"/>
  <c r="B72" i="8"/>
  <c r="B230" i="8"/>
  <c r="C76" i="8"/>
  <c r="C156" i="8"/>
  <c r="C77" i="8"/>
  <c r="C78" i="8"/>
  <c r="C79" i="8"/>
  <c r="C159" i="8"/>
  <c r="C81" i="8"/>
  <c r="C161" i="8"/>
  <c r="C82" i="8"/>
  <c r="R82" i="8"/>
  <c r="B32" i="25"/>
  <c r="C83" i="8"/>
  <c r="C84" i="8"/>
  <c r="C164" i="8"/>
  <c r="C85" i="8"/>
  <c r="C88" i="8"/>
  <c r="C89" i="8"/>
  <c r="C91" i="8"/>
  <c r="C248" i="8"/>
  <c r="C92" i="8"/>
  <c r="C93" i="8"/>
  <c r="C250" i="8"/>
  <c r="C94" i="8"/>
  <c r="C251" i="8"/>
  <c r="C95" i="8"/>
  <c r="C96" i="8"/>
  <c r="C175" i="8"/>
  <c r="C97" i="8"/>
  <c r="C98" i="8"/>
  <c r="C177" i="8"/>
  <c r="C99" i="8"/>
  <c r="C100" i="8"/>
  <c r="C257" i="8"/>
  <c r="C103" i="8"/>
  <c r="C182" i="8"/>
  <c r="B113" i="8"/>
  <c r="B269" i="8"/>
  <c r="R113" i="8"/>
  <c r="C114" i="8"/>
  <c r="C115" i="8"/>
  <c r="C193" i="8"/>
  <c r="B116" i="8"/>
  <c r="B194" i="8"/>
  <c r="B117" i="8"/>
  <c r="B195" i="8"/>
  <c r="C118" i="8"/>
  <c r="C120" i="8"/>
  <c r="C121" i="8"/>
  <c r="C199" i="8"/>
  <c r="C122" i="8"/>
  <c r="C278" i="8"/>
  <c r="B123" i="8"/>
  <c r="B132" i="8"/>
  <c r="B133" i="8"/>
  <c r="B134" i="8"/>
  <c r="B135" i="8"/>
  <c r="Q135" i="8"/>
  <c r="B136" i="8"/>
  <c r="B140" i="8"/>
  <c r="B141" i="8"/>
  <c r="B143" i="8"/>
  <c r="B154" i="8"/>
  <c r="C160" i="8"/>
  <c r="C166" i="8"/>
  <c r="C167" i="8"/>
  <c r="C180" i="8"/>
  <c r="C181" i="8"/>
  <c r="B184" i="8"/>
  <c r="B186" i="8"/>
  <c r="B188" i="8"/>
  <c r="B190" i="8"/>
  <c r="B203" i="8"/>
  <c r="B205" i="8"/>
  <c r="B210" i="8"/>
  <c r="B211" i="8"/>
  <c r="B212" i="8"/>
  <c r="B213" i="8"/>
  <c r="B214" i="8"/>
  <c r="B218" i="8"/>
  <c r="B219" i="8"/>
  <c r="B221" i="8"/>
  <c r="B232" i="8"/>
  <c r="C238" i="8"/>
  <c r="C242" i="8"/>
  <c r="C244" i="8"/>
  <c r="C245" i="8"/>
  <c r="C258" i="8"/>
  <c r="C259" i="8"/>
  <c r="B262" i="8"/>
  <c r="B264" i="8"/>
  <c r="B266" i="8"/>
  <c r="B268" i="8"/>
  <c r="B281" i="8"/>
  <c r="B283" i="8"/>
  <c r="B7" i="20"/>
  <c r="D19" i="20"/>
  <c r="F56" i="20"/>
  <c r="F57" i="20"/>
  <c r="F55" i="20"/>
  <c r="D20" i="20"/>
  <c r="D21" i="20"/>
  <c r="D22" i="20"/>
  <c r="D23" i="20"/>
  <c r="D24" i="20"/>
  <c r="D25" i="20"/>
  <c r="D26" i="20"/>
  <c r="D27" i="20"/>
  <c r="D28" i="20"/>
  <c r="D29" i="20"/>
  <c r="D30" i="20"/>
  <c r="D33" i="20"/>
  <c r="D34" i="20"/>
  <c r="D35" i="20"/>
  <c r="D36" i="20"/>
  <c r="D37" i="20"/>
  <c r="D38" i="20"/>
  <c r="D39" i="20"/>
  <c r="D40" i="20"/>
  <c r="D41" i="20"/>
  <c r="D42" i="20"/>
  <c r="D43" i="20"/>
  <c r="D44" i="20"/>
  <c r="D47" i="20"/>
  <c r="D48" i="20"/>
  <c r="D49" i="20"/>
  <c r="D50" i="20"/>
  <c r="F50" i="20"/>
  <c r="D56" i="20"/>
  <c r="D60" i="20"/>
  <c r="D61" i="20"/>
  <c r="D62" i="20"/>
  <c r="D63" i="20"/>
  <c r="D64" i="20"/>
  <c r="D65" i="20"/>
  <c r="D66" i="20"/>
  <c r="D67" i="20"/>
  <c r="B92" i="20"/>
  <c r="C93" i="20"/>
  <c r="F93" i="20"/>
  <c r="C94" i="20"/>
  <c r="C95" i="20"/>
  <c r="C96" i="20"/>
  <c r="C97" i="20"/>
  <c r="B98" i="20"/>
  <c r="D102" i="20"/>
  <c r="D103" i="20"/>
  <c r="D104" i="20"/>
  <c r="D105" i="20"/>
  <c r="C106" i="20"/>
  <c r="C107" i="20"/>
  <c r="D108" i="20"/>
  <c r="D110" i="20"/>
  <c r="D111" i="20"/>
  <c r="C112" i="20"/>
  <c r="B114" i="20"/>
  <c r="P31" i="26"/>
  <c r="P35" i="26"/>
  <c r="P37" i="26"/>
  <c r="C37" i="26"/>
  <c r="C43" i="26"/>
  <c r="C49" i="26"/>
  <c r="C55" i="26"/>
  <c r="C61" i="26"/>
  <c r="C67" i="26"/>
  <c r="C73" i="26"/>
  <c r="C79" i="26"/>
  <c r="C85" i="26"/>
  <c r="C94" i="26"/>
  <c r="C100" i="26"/>
  <c r="C106" i="26"/>
  <c r="C112" i="26"/>
  <c r="C118" i="26"/>
  <c r="C124" i="26"/>
  <c r="C130" i="26"/>
  <c r="C136" i="26"/>
  <c r="C142" i="26"/>
  <c r="C148" i="26"/>
  <c r="C157" i="26"/>
  <c r="C163" i="26"/>
  <c r="C169" i="26"/>
  <c r="C175" i="26"/>
  <c r="C181" i="26"/>
  <c r="C187" i="26"/>
  <c r="C193" i="26"/>
  <c r="C199" i="26"/>
  <c r="C205" i="26"/>
  <c r="C211" i="26"/>
  <c r="C38" i="26"/>
  <c r="C39" i="26"/>
  <c r="C45" i="26"/>
  <c r="C51" i="26"/>
  <c r="C57" i="26"/>
  <c r="C63" i="26"/>
  <c r="C69" i="26"/>
  <c r="C75" i="26"/>
  <c r="C81" i="26"/>
  <c r="C87" i="26"/>
  <c r="C96" i="26"/>
  <c r="C102" i="26"/>
  <c r="C108" i="26"/>
  <c r="C114" i="26"/>
  <c r="C120" i="26"/>
  <c r="C126" i="26"/>
  <c r="C132" i="26"/>
  <c r="C138" i="26"/>
  <c r="C144" i="26"/>
  <c r="C150" i="26"/>
  <c r="C159" i="26"/>
  <c r="C165" i="26"/>
  <c r="C171" i="26"/>
  <c r="C177" i="26"/>
  <c r="C183" i="26"/>
  <c r="C189" i="26"/>
  <c r="C195" i="26"/>
  <c r="C201" i="26"/>
  <c r="C207" i="26"/>
  <c r="C213" i="26"/>
  <c r="C40" i="26"/>
  <c r="C46" i="26"/>
  <c r="C52" i="26"/>
  <c r="C58" i="26"/>
  <c r="C64" i="26"/>
  <c r="C70" i="26"/>
  <c r="C76" i="26"/>
  <c r="C82" i="26"/>
  <c r="C88" i="26"/>
  <c r="C97" i="26"/>
  <c r="C103" i="26"/>
  <c r="C109" i="26"/>
  <c r="C115" i="26"/>
  <c r="C121" i="26"/>
  <c r="C127" i="26"/>
  <c r="C133" i="26"/>
  <c r="C139" i="26"/>
  <c r="C145" i="26"/>
  <c r="C151" i="26"/>
  <c r="C160" i="26"/>
  <c r="C166" i="26"/>
  <c r="C172" i="26"/>
  <c r="C178" i="26"/>
  <c r="C184" i="26"/>
  <c r="C190" i="26"/>
  <c r="C196" i="26"/>
  <c r="C202" i="26"/>
  <c r="C208" i="26"/>
  <c r="C214" i="26"/>
  <c r="C41" i="26"/>
  <c r="C47" i="26"/>
  <c r="C53" i="26"/>
  <c r="C59" i="26"/>
  <c r="C65" i="26"/>
  <c r="C71" i="26"/>
  <c r="C77" i="26"/>
  <c r="C83" i="26"/>
  <c r="C89" i="26"/>
  <c r="C98" i="26"/>
  <c r="C104" i="26"/>
  <c r="C110" i="26"/>
  <c r="C116" i="26"/>
  <c r="C122" i="26"/>
  <c r="C128" i="26"/>
  <c r="C134" i="26"/>
  <c r="C140" i="26"/>
  <c r="C146" i="26"/>
  <c r="C152" i="26"/>
  <c r="C161" i="26"/>
  <c r="C167" i="26"/>
  <c r="C173" i="26"/>
  <c r="C179" i="26"/>
  <c r="C185" i="26"/>
  <c r="C191" i="26"/>
  <c r="C197" i="26"/>
  <c r="C203" i="26"/>
  <c r="C209" i="26"/>
  <c r="C215" i="26"/>
  <c r="P41" i="26"/>
  <c r="P43" i="26"/>
  <c r="C44" i="26"/>
  <c r="C50" i="26"/>
  <c r="C56" i="26"/>
  <c r="C62" i="26"/>
  <c r="C68" i="26"/>
  <c r="C74" i="26"/>
  <c r="C80" i="26"/>
  <c r="C86" i="26"/>
  <c r="C95" i="26"/>
  <c r="C101" i="26"/>
  <c r="C107" i="26"/>
  <c r="C113" i="26"/>
  <c r="C119" i="26"/>
  <c r="C125" i="26"/>
  <c r="C131" i="26"/>
  <c r="C137" i="26"/>
  <c r="C143" i="26"/>
  <c r="C149" i="26"/>
  <c r="C158" i="26"/>
  <c r="C164" i="26"/>
  <c r="C170" i="26"/>
  <c r="C176" i="26"/>
  <c r="C182" i="26"/>
  <c r="C188" i="26"/>
  <c r="C194" i="26"/>
  <c r="C200" i="26"/>
  <c r="C206" i="26"/>
  <c r="C212" i="26"/>
  <c r="P47" i="26"/>
  <c r="P49" i="26"/>
  <c r="P53" i="26"/>
  <c r="P55" i="26"/>
  <c r="P59" i="26"/>
  <c r="P61" i="26"/>
  <c r="P65" i="26"/>
  <c r="P67" i="26"/>
  <c r="P71" i="26"/>
  <c r="P73" i="26"/>
  <c r="P77" i="26"/>
  <c r="P79" i="26"/>
  <c r="P83" i="26"/>
  <c r="P85" i="26"/>
  <c r="P89" i="26"/>
  <c r="P94" i="26"/>
  <c r="P98" i="26"/>
  <c r="P100" i="26"/>
  <c r="P104" i="26"/>
  <c r="P106" i="26"/>
  <c r="P110" i="26"/>
  <c r="P112" i="26"/>
  <c r="P116" i="26"/>
  <c r="P118" i="26"/>
  <c r="P122" i="26"/>
  <c r="P124" i="26"/>
  <c r="P128" i="26"/>
  <c r="P130" i="26"/>
  <c r="P134" i="26"/>
  <c r="P136" i="26"/>
  <c r="P140" i="26"/>
  <c r="P142" i="26"/>
  <c r="P146" i="26"/>
  <c r="P148" i="26"/>
  <c r="P152" i="26"/>
  <c r="P157" i="26"/>
  <c r="P161" i="26"/>
  <c r="P163" i="26"/>
  <c r="P167" i="26"/>
  <c r="P169" i="26"/>
  <c r="P173" i="26"/>
  <c r="P175" i="26"/>
  <c r="P179" i="26"/>
  <c r="P181" i="26"/>
  <c r="P185" i="26"/>
  <c r="P187" i="26"/>
  <c r="P191" i="26"/>
  <c r="P193" i="26"/>
  <c r="P197" i="26"/>
  <c r="P199" i="26"/>
  <c r="P203" i="26"/>
  <c r="P205" i="26"/>
  <c r="P209" i="26"/>
  <c r="P211" i="26"/>
  <c r="P215" i="26"/>
  <c r="F262" i="26"/>
  <c r="O13" i="25"/>
  <c r="O18" i="25"/>
  <c r="C19" i="25"/>
  <c r="D19" i="25"/>
  <c r="E19" i="25"/>
  <c r="F19" i="25"/>
  <c r="G19" i="25"/>
  <c r="H19" i="25"/>
  <c r="I19" i="25"/>
  <c r="J19" i="25"/>
  <c r="K19" i="25"/>
  <c r="L19" i="25"/>
  <c r="M19" i="25"/>
  <c r="N19" i="25"/>
  <c r="O21" i="25"/>
  <c r="O22" i="25"/>
  <c r="C24" i="25"/>
  <c r="D24" i="25"/>
  <c r="E24" i="25"/>
  <c r="F24" i="25"/>
  <c r="G24" i="25"/>
  <c r="H24" i="25"/>
  <c r="I24" i="25"/>
  <c r="J24" i="25"/>
  <c r="K24" i="25"/>
  <c r="L24" i="25"/>
  <c r="M24" i="25"/>
  <c r="N24" i="25"/>
  <c r="O29" i="25"/>
  <c r="O32" i="25"/>
  <c r="O33" i="25"/>
  <c r="O34" i="25"/>
  <c r="C35" i="25"/>
  <c r="D35" i="25"/>
  <c r="E35" i="25"/>
  <c r="F35" i="25"/>
  <c r="G35" i="25"/>
  <c r="H35" i="25"/>
  <c r="I35" i="25"/>
  <c r="J35" i="25"/>
  <c r="K35" i="25"/>
  <c r="L35" i="25"/>
  <c r="M35" i="25"/>
  <c r="N35" i="25"/>
  <c r="O37" i="25"/>
  <c r="O38" i="25"/>
  <c r="O39" i="25"/>
  <c r="O40" i="25"/>
  <c r="O41" i="25"/>
  <c r="O42" i="25"/>
  <c r="O43" i="25"/>
  <c r="O44" i="25"/>
  <c r="O45" i="25"/>
  <c r="O46" i="25"/>
  <c r="C47" i="25"/>
  <c r="D47" i="25"/>
  <c r="E47" i="25"/>
  <c r="F47" i="25"/>
  <c r="G47" i="25"/>
  <c r="H47" i="25"/>
  <c r="I47" i="25"/>
  <c r="J47" i="25"/>
  <c r="K47" i="25"/>
  <c r="L47" i="25"/>
  <c r="M47" i="25"/>
  <c r="N47" i="25"/>
  <c r="O53" i="25"/>
  <c r="O54" i="25"/>
  <c r="C55" i="25"/>
  <c r="D55" i="25"/>
  <c r="E55" i="25"/>
  <c r="F55" i="25"/>
  <c r="G55" i="25"/>
  <c r="H55" i="25"/>
  <c r="I55" i="25"/>
  <c r="J55" i="25"/>
  <c r="K55" i="25"/>
  <c r="L55" i="25"/>
  <c r="M55" i="25"/>
  <c r="N55" i="25"/>
  <c r="D1" i="24"/>
  <c r="E1" i="24"/>
  <c r="F1" i="24"/>
  <c r="F40" i="24"/>
  <c r="G40" i="24"/>
  <c r="F55" i="24"/>
  <c r="G55" i="24"/>
  <c r="F61" i="24"/>
  <c r="G61" i="24"/>
  <c r="H61" i="24"/>
  <c r="D76" i="24"/>
  <c r="G93" i="24"/>
  <c r="E101" i="24"/>
  <c r="E104" i="24"/>
  <c r="O47" i="11"/>
  <c r="P47" i="11"/>
  <c r="D10" i="11"/>
  <c r="F101" i="24"/>
  <c r="G101" i="24"/>
  <c r="G104" i="24"/>
  <c r="O119" i="11"/>
  <c r="P119" i="11"/>
  <c r="F10" i="11"/>
  <c r="F104" i="24"/>
  <c r="O83" i="11"/>
  <c r="P83" i="11"/>
  <c r="E10" i="11"/>
  <c r="D134" i="24"/>
  <c r="O78" i="20"/>
  <c r="O79" i="20"/>
  <c r="O80" i="20"/>
  <c r="F109" i="20"/>
  <c r="C59" i="10"/>
  <c r="D38" i="1"/>
  <c r="E38" i="1"/>
  <c r="F38" i="1"/>
  <c r="G38" i="1"/>
  <c r="H38" i="1"/>
  <c r="I38" i="1"/>
  <c r="T113" i="23"/>
  <c r="T114" i="23"/>
  <c r="T115" i="23"/>
  <c r="T116" i="23"/>
  <c r="T117" i="23"/>
  <c r="T118" i="23"/>
  <c r="T119" i="23"/>
  <c r="T120" i="23"/>
  <c r="T121" i="23"/>
  <c r="T122" i="23"/>
  <c r="T123" i="23"/>
  <c r="T124" i="23"/>
  <c r="T125" i="23"/>
  <c r="T126" i="23"/>
  <c r="T127" i="23"/>
  <c r="T128" i="23"/>
  <c r="T129" i="23"/>
  <c r="T130" i="23"/>
  <c r="T131" i="23"/>
  <c r="T132" i="23"/>
  <c r="T133" i="23"/>
  <c r="T134" i="23"/>
  <c r="T135" i="23"/>
  <c r="T136" i="23"/>
  <c r="T137" i="23"/>
  <c r="T138" i="23"/>
  <c r="T139" i="23"/>
  <c r="T140" i="23"/>
  <c r="T141" i="23"/>
  <c r="T142" i="23"/>
  <c r="T143" i="23"/>
  <c r="T144" i="23"/>
  <c r="T145" i="23"/>
  <c r="T146" i="23"/>
  <c r="T147" i="23"/>
  <c r="T148" i="23"/>
  <c r="T149" i="23"/>
  <c r="T150" i="23"/>
  <c r="T151" i="23"/>
  <c r="T152" i="23"/>
  <c r="T153" i="23"/>
  <c r="T154" i="23"/>
  <c r="T155" i="23"/>
  <c r="T156" i="23"/>
  <c r="T157" i="23"/>
  <c r="T158" i="23"/>
  <c r="T159" i="23"/>
  <c r="T160" i="23"/>
  <c r="T161" i="23"/>
  <c r="T162" i="23"/>
  <c r="T163" i="23"/>
  <c r="T164" i="23"/>
  <c r="T165" i="23"/>
  <c r="T166" i="23"/>
  <c r="T167" i="23"/>
  <c r="T168" i="23"/>
  <c r="T169" i="23"/>
  <c r="T170" i="23"/>
  <c r="T171" i="23"/>
  <c r="T172" i="23"/>
  <c r="T173" i="23"/>
  <c r="T174" i="23"/>
  <c r="T175" i="23"/>
  <c r="T176" i="23"/>
  <c r="T177" i="23"/>
  <c r="T178" i="23"/>
  <c r="T179" i="23"/>
  <c r="T180" i="23"/>
  <c r="T181" i="23"/>
  <c r="T182" i="23"/>
  <c r="T183" i="23"/>
  <c r="T184" i="23"/>
  <c r="T185" i="23"/>
  <c r="T186" i="23"/>
  <c r="T187" i="23"/>
  <c r="T188" i="23"/>
  <c r="T189" i="23"/>
  <c r="T190" i="23"/>
  <c r="T191" i="23"/>
  <c r="T192" i="23"/>
  <c r="T193" i="23"/>
  <c r="T194" i="23"/>
  <c r="T195" i="23"/>
  <c r="T196" i="23"/>
  <c r="T197" i="23"/>
  <c r="T198" i="23"/>
  <c r="T199" i="23"/>
  <c r="T200" i="23"/>
  <c r="T201" i="23"/>
  <c r="T202" i="23"/>
  <c r="T203" i="23"/>
  <c r="T204" i="23"/>
  <c r="T205" i="23"/>
  <c r="T206" i="23"/>
  <c r="T207" i="23"/>
  <c r="T208" i="23"/>
  <c r="T209" i="23"/>
  <c r="T210" i="23"/>
  <c r="T211" i="23"/>
  <c r="T212" i="23"/>
  <c r="T213" i="23"/>
  <c r="T214" i="23"/>
  <c r="T215" i="23"/>
  <c r="T216" i="23"/>
  <c r="T217" i="23"/>
  <c r="T218" i="23"/>
  <c r="T219" i="23"/>
  <c r="T220" i="23"/>
  <c r="T221" i="23"/>
  <c r="T222" i="23"/>
  <c r="T223" i="23"/>
  <c r="T224" i="23"/>
  <c r="T225" i="23"/>
  <c r="T226" i="23"/>
  <c r="T227" i="23"/>
  <c r="T228" i="23"/>
  <c r="T229" i="23"/>
  <c r="AU112"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B139" i="52"/>
  <c r="B140" i="52"/>
  <c r="B141" i="52"/>
  <c r="B142" i="52"/>
  <c r="M110" i="10"/>
  <c r="M96" i="10"/>
  <c r="M97" i="10"/>
  <c r="M109" i="10"/>
  <c r="M92" i="10"/>
  <c r="M117" i="10"/>
  <c r="M118" i="10"/>
  <c r="M108" i="10"/>
  <c r="B143" i="52"/>
  <c r="E143" i="52"/>
  <c r="F143" i="52"/>
  <c r="B144" i="52"/>
  <c r="B145" i="52"/>
  <c r="B146" i="52"/>
  <c r="B147" i="52"/>
  <c r="B148" i="52"/>
  <c r="B149" i="52"/>
  <c r="B150" i="52"/>
  <c r="B151" i="52"/>
  <c r="B152" i="52"/>
  <c r="B153" i="52"/>
  <c r="B154" i="52"/>
  <c r="B155" i="52"/>
  <c r="B156" i="52"/>
  <c r="B157" i="52"/>
  <c r="B158" i="52"/>
  <c r="B159" i="52"/>
  <c r="B160" i="52"/>
  <c r="B161" i="52"/>
  <c r="E161" i="52" s="1"/>
  <c r="F161" i="52" s="1"/>
  <c r="B162" i="52"/>
  <c r="B163" i="52"/>
  <c r="B164" i="52"/>
  <c r="B165" i="52"/>
  <c r="B166" i="52"/>
  <c r="B167" i="52"/>
  <c r="B168" i="52"/>
  <c r="B169" i="52"/>
  <c r="B170" i="52"/>
  <c r="B171" i="52"/>
  <c r="B172" i="52"/>
  <c r="B173" i="52"/>
  <c r="B174" i="52"/>
  <c r="B175" i="52"/>
  <c r="B176" i="52"/>
  <c r="B177" i="52"/>
  <c r="B178" i="52"/>
  <c r="B179" i="52"/>
  <c r="B180" i="52"/>
  <c r="B181" i="52"/>
  <c r="B182" i="52"/>
  <c r="B183" i="52"/>
  <c r="B184" i="52"/>
  <c r="E15" i="19"/>
  <c r="U242" i="26"/>
  <c r="U240" i="26"/>
  <c r="H197" i="6"/>
  <c r="V241" i="26"/>
  <c r="U241" i="26"/>
  <c r="B238" i="6"/>
  <c r="U16" i="25"/>
  <c r="T237" i="26"/>
  <c r="E136" i="6"/>
  <c r="U234" i="26"/>
  <c r="P96" i="26"/>
  <c r="B174" i="26"/>
  <c r="B111" i="26"/>
  <c r="B20" i="6"/>
  <c r="G197" i="6"/>
  <c r="R239" i="26"/>
  <c r="S239" i="26"/>
  <c r="C82" i="24"/>
  <c r="C74" i="20"/>
  <c r="F71" i="20"/>
  <c r="T234" i="26"/>
  <c r="R234" i="26"/>
  <c r="S234" i="26"/>
  <c r="P45" i="26"/>
  <c r="P102" i="26"/>
  <c r="P144" i="26"/>
  <c r="C237" i="26"/>
  <c r="F80" i="20"/>
  <c r="D88" i="24"/>
  <c r="P108" i="26"/>
  <c r="F274" i="26"/>
  <c r="M198" i="6"/>
  <c r="V238" i="26"/>
  <c r="P120" i="26"/>
  <c r="T238" i="26"/>
  <c r="F82" i="5"/>
  <c r="F66" i="5"/>
  <c r="E68" i="5"/>
  <c r="D70" i="5"/>
  <c r="R238" i="26"/>
  <c r="S238" i="26"/>
  <c r="P138" i="26"/>
  <c r="P132" i="26"/>
  <c r="C84" i="24"/>
  <c r="C76" i="20"/>
  <c r="F75" i="20"/>
  <c r="D83" i="24"/>
  <c r="B240" i="6"/>
  <c r="B181" i="6"/>
  <c r="P39" i="26"/>
  <c r="D76" i="5"/>
  <c r="P76" i="5"/>
  <c r="F23" i="5"/>
  <c r="C65" i="6"/>
  <c r="P126" i="26"/>
  <c r="P81" i="26"/>
  <c r="P87" i="26"/>
  <c r="P51" i="26"/>
  <c r="H108" i="5"/>
  <c r="P207" i="26"/>
  <c r="H92" i="5"/>
  <c r="P159" i="26"/>
  <c r="F98" i="5"/>
  <c r="P177" i="26"/>
  <c r="H104" i="5"/>
  <c r="P195" i="26"/>
  <c r="F110" i="5"/>
  <c r="P110" i="5"/>
  <c r="H31" i="5"/>
  <c r="C84" i="6"/>
  <c r="P213" i="26"/>
  <c r="P57" i="26"/>
  <c r="D72" i="5"/>
  <c r="P114" i="26"/>
  <c r="H100" i="5"/>
  <c r="P183" i="26"/>
  <c r="F106" i="5"/>
  <c r="P106" i="5"/>
  <c r="H27" i="5"/>
  <c r="C82" i="6"/>
  <c r="P201" i="26"/>
  <c r="P69" i="26"/>
  <c r="P75" i="26"/>
  <c r="F94" i="5"/>
  <c r="P165" i="26"/>
  <c r="D84" i="5"/>
  <c r="P84" i="5"/>
  <c r="F31" i="5"/>
  <c r="C69" i="6"/>
  <c r="P150" i="26"/>
  <c r="H96" i="5"/>
  <c r="P171" i="26"/>
  <c r="F102" i="5"/>
  <c r="F112" i="5" s="1"/>
  <c r="P189" i="26"/>
  <c r="P63" i="26"/>
  <c r="P33" i="26"/>
  <c r="P73" i="5"/>
  <c r="F20" i="5"/>
  <c r="K115" i="24"/>
  <c r="D63" i="24"/>
  <c r="C179" i="52"/>
  <c r="D179" i="52"/>
  <c r="D69" i="36"/>
  <c r="D104" i="24"/>
  <c r="L110" i="24"/>
  <c r="H63" i="24"/>
  <c r="G63" i="24"/>
  <c r="E171" i="52"/>
  <c r="F171" i="52"/>
  <c r="C151" i="52"/>
  <c r="D151" i="52"/>
  <c r="C158" i="52"/>
  <c r="D158" i="52"/>
  <c r="C162" i="52"/>
  <c r="D162" i="52"/>
  <c r="C143" i="52"/>
  <c r="D143" i="52"/>
  <c r="C150" i="52"/>
  <c r="D150" i="52"/>
  <c r="C153" i="52"/>
  <c r="D153" i="52"/>
  <c r="C156" i="52"/>
  <c r="D156" i="52"/>
  <c r="C159" i="52"/>
  <c r="D159" i="52"/>
  <c r="C163" i="52"/>
  <c r="D163" i="52"/>
  <c r="O55" i="25"/>
  <c r="B152" i="8"/>
  <c r="C271" i="8"/>
  <c r="C237" i="8"/>
  <c r="B273" i="8"/>
  <c r="O19" i="25"/>
  <c r="O35" i="25"/>
  <c r="B97" i="11"/>
  <c r="O24" i="25"/>
  <c r="E250" i="8"/>
  <c r="O236" i="8"/>
  <c r="L241" i="8"/>
  <c r="I243" i="8"/>
  <c r="G243" i="8"/>
  <c r="B147" i="26"/>
  <c r="M85" i="36"/>
  <c r="N85" i="36"/>
  <c r="M78" i="36"/>
  <c r="M77" i="36"/>
  <c r="L133" i="6"/>
  <c r="J270" i="8"/>
  <c r="L109" i="24"/>
  <c r="D112" i="24"/>
  <c r="F102" i="20"/>
  <c r="F78" i="20"/>
  <c r="D86" i="24"/>
  <c r="R241" i="26"/>
  <c r="S241" i="26"/>
  <c r="M241" i="8"/>
  <c r="M194" i="8"/>
  <c r="L87" i="11"/>
  <c r="D254" i="6"/>
  <c r="E254" i="6"/>
  <c r="G254" i="6"/>
  <c r="F254" i="6"/>
  <c r="C254" i="6"/>
  <c r="N254" i="6"/>
  <c r="I254" i="6"/>
  <c r="H254" i="6"/>
  <c r="M254" i="6"/>
  <c r="T88" i="36"/>
  <c r="K88" i="36"/>
  <c r="AU113" i="23"/>
  <c r="AC112" i="23"/>
  <c r="V100" i="23"/>
  <c r="V101" i="23"/>
  <c r="M110" i="23"/>
  <c r="N110" i="23"/>
  <c r="M100" i="23"/>
  <c r="M101" i="23"/>
  <c r="D110" i="23"/>
  <c r="O34" i="23"/>
  <c r="K34" i="23"/>
  <c r="H34" i="23"/>
  <c r="AC113" i="23"/>
  <c r="AL112" i="23"/>
  <c r="K171" i="23"/>
  <c r="H241" i="8"/>
  <c r="H271" i="8"/>
  <c r="J191" i="6"/>
  <c r="G199" i="6"/>
  <c r="B18" i="5"/>
  <c r="B45" i="5"/>
  <c r="B71" i="5"/>
  <c r="B97" i="5"/>
  <c r="D8" i="36"/>
  <c r="E8" i="36"/>
  <c r="B24" i="36"/>
  <c r="D26" i="23"/>
  <c r="C1" i="6"/>
  <c r="O10" i="1"/>
  <c r="T89" i="36"/>
  <c r="K89" i="36"/>
  <c r="AU114" i="23"/>
  <c r="E110" i="23"/>
  <c r="AL113" i="23"/>
  <c r="AC114" i="23"/>
  <c r="K172" i="23"/>
  <c r="E78" i="8"/>
  <c r="E93" i="8"/>
  <c r="E102" i="8"/>
  <c r="D52" i="5"/>
  <c r="F91" i="8"/>
  <c r="F99" i="8"/>
  <c r="E44" i="5"/>
  <c r="E52" i="5"/>
  <c r="F115" i="8"/>
  <c r="G87" i="8"/>
  <c r="G98" i="8"/>
  <c r="H78" i="8"/>
  <c r="H93" i="8"/>
  <c r="H102" i="8"/>
  <c r="G42" i="5"/>
  <c r="G46" i="5"/>
  <c r="G54" i="5"/>
  <c r="G58" i="5"/>
  <c r="H114" i="8"/>
  <c r="I85" i="8"/>
  <c r="I93" i="8"/>
  <c r="I97" i="8"/>
  <c r="H42" i="5"/>
  <c r="H46" i="5"/>
  <c r="H50" i="5"/>
  <c r="H54" i="5"/>
  <c r="H58" i="5"/>
  <c r="I122" i="8"/>
  <c r="J77" i="8"/>
  <c r="J84" i="8"/>
  <c r="J92" i="8"/>
  <c r="J96" i="8"/>
  <c r="J100" i="8"/>
  <c r="J122" i="8"/>
  <c r="K77" i="8"/>
  <c r="K84" i="8"/>
  <c r="K92" i="8"/>
  <c r="K96" i="8"/>
  <c r="K100" i="8"/>
  <c r="J50" i="5"/>
  <c r="K115" i="8"/>
  <c r="L79" i="8"/>
  <c r="L87" i="8"/>
  <c r="L94" i="8"/>
  <c r="L98" i="8"/>
  <c r="K48" i="5"/>
  <c r="K52" i="5"/>
  <c r="K56" i="5"/>
  <c r="L115" i="8"/>
  <c r="M79" i="8"/>
  <c r="M87" i="8"/>
  <c r="M94" i="8"/>
  <c r="M98" i="8"/>
  <c r="M114" i="8"/>
  <c r="N78" i="8"/>
  <c r="N85" i="8"/>
  <c r="N93" i="8"/>
  <c r="N97" i="8"/>
  <c r="N102" i="8"/>
  <c r="M42" i="5"/>
  <c r="M46" i="5"/>
  <c r="M50" i="5"/>
  <c r="M54" i="5"/>
  <c r="M58" i="5"/>
  <c r="N122" i="8"/>
  <c r="O77" i="8"/>
  <c r="O84" i="8"/>
  <c r="O92" i="8"/>
  <c r="O96" i="8"/>
  <c r="O100" i="8"/>
  <c r="O66" i="8"/>
  <c r="P83" i="8"/>
  <c r="P91" i="8"/>
  <c r="P95" i="8"/>
  <c r="P99" i="8"/>
  <c r="O40" i="5"/>
  <c r="O44" i="5"/>
  <c r="O48" i="5"/>
  <c r="O52" i="5"/>
  <c r="O56" i="5"/>
  <c r="P66" i="8"/>
  <c r="D122" i="8"/>
  <c r="D43" i="5"/>
  <c r="D51" i="5"/>
  <c r="E39" i="5"/>
  <c r="E47" i="5"/>
  <c r="E55" i="5"/>
  <c r="F43" i="5"/>
  <c r="F51" i="5"/>
  <c r="G39" i="5"/>
  <c r="G47" i="5"/>
  <c r="G55" i="5"/>
  <c r="H43" i="5"/>
  <c r="H51" i="5"/>
  <c r="I39" i="5"/>
  <c r="I47" i="5"/>
  <c r="I55" i="5"/>
  <c r="J43" i="5"/>
  <c r="J51" i="5"/>
  <c r="K39" i="5"/>
  <c r="K47" i="5"/>
  <c r="K55" i="5"/>
  <c r="L43" i="5"/>
  <c r="L51" i="5"/>
  <c r="M39" i="5"/>
  <c r="M47" i="5"/>
  <c r="M55" i="5"/>
  <c r="N43" i="5"/>
  <c r="N51" i="5"/>
  <c r="O39" i="5"/>
  <c r="O47" i="5"/>
  <c r="O55" i="5"/>
  <c r="J56" i="5"/>
  <c r="D46" i="5"/>
  <c r="E77" i="8"/>
  <c r="E84" i="8"/>
  <c r="E92" i="8"/>
  <c r="E96" i="8"/>
  <c r="E100" i="8"/>
  <c r="D56" i="5"/>
  <c r="E66" i="8"/>
  <c r="E115" i="8"/>
  <c r="F79" i="8"/>
  <c r="F87" i="8"/>
  <c r="F94" i="8"/>
  <c r="F98" i="8"/>
  <c r="F114" i="8"/>
  <c r="G78" i="8"/>
  <c r="G85" i="8"/>
  <c r="G93" i="8"/>
  <c r="G97" i="8"/>
  <c r="G102" i="8"/>
  <c r="F42" i="5"/>
  <c r="F46" i="5"/>
  <c r="F50" i="5"/>
  <c r="F54" i="5"/>
  <c r="F58" i="5"/>
  <c r="G122" i="8"/>
  <c r="H77" i="8"/>
  <c r="H84" i="8"/>
  <c r="H92" i="8"/>
  <c r="H96" i="8"/>
  <c r="H100" i="8"/>
  <c r="H122" i="8"/>
  <c r="I77" i="8"/>
  <c r="I84" i="8"/>
  <c r="I92" i="8"/>
  <c r="I96" i="8"/>
  <c r="I100" i="8"/>
  <c r="I66" i="8"/>
  <c r="J83" i="8"/>
  <c r="J91" i="8"/>
  <c r="J95" i="8"/>
  <c r="J99" i="8"/>
  <c r="I40" i="5"/>
  <c r="I44" i="5"/>
  <c r="I48" i="5"/>
  <c r="I52" i="5"/>
  <c r="I56" i="5"/>
  <c r="J66" i="8"/>
  <c r="K83" i="8"/>
  <c r="K91" i="8"/>
  <c r="K95" i="8"/>
  <c r="K99" i="8"/>
  <c r="J40" i="5"/>
  <c r="J44" i="5"/>
  <c r="J54" i="5"/>
  <c r="K114" i="8"/>
  <c r="L78" i="8"/>
  <c r="L85" i="8"/>
  <c r="L93" i="8"/>
  <c r="L97" i="8"/>
  <c r="L102" i="8"/>
  <c r="K42" i="5"/>
  <c r="L114" i="8"/>
  <c r="M78" i="8"/>
  <c r="M85" i="8"/>
  <c r="M93" i="8"/>
  <c r="M97" i="8"/>
  <c r="M102" i="8"/>
  <c r="L42" i="5"/>
  <c r="L46" i="5"/>
  <c r="L50" i="5"/>
  <c r="L54" i="5"/>
  <c r="L58" i="5"/>
  <c r="M122" i="8"/>
  <c r="N77" i="8"/>
  <c r="N84" i="8"/>
  <c r="N92" i="8"/>
  <c r="N96" i="8"/>
  <c r="N100" i="8"/>
  <c r="N66" i="8"/>
  <c r="O83" i="8"/>
  <c r="O91" i="8"/>
  <c r="O95" i="8"/>
  <c r="O99" i="8"/>
  <c r="N40" i="5"/>
  <c r="N44" i="5"/>
  <c r="N48" i="5"/>
  <c r="N52" i="5"/>
  <c r="N56" i="5"/>
  <c r="O115" i="8"/>
  <c r="P79" i="8"/>
  <c r="P87" i="8"/>
  <c r="P94" i="8"/>
  <c r="P98" i="8"/>
  <c r="P115" i="8"/>
  <c r="D108" i="8"/>
  <c r="D115" i="8"/>
  <c r="D41" i="5"/>
  <c r="D49" i="5"/>
  <c r="D57" i="5"/>
  <c r="E45" i="5"/>
  <c r="E53" i="5"/>
  <c r="F41" i="5"/>
  <c r="F49" i="5"/>
  <c r="F57" i="5"/>
  <c r="G45" i="5"/>
  <c r="G53" i="5"/>
  <c r="H41" i="5"/>
  <c r="H49" i="5"/>
  <c r="H57" i="5"/>
  <c r="I45" i="5"/>
  <c r="I53" i="5"/>
  <c r="J41" i="5"/>
  <c r="J49" i="5"/>
  <c r="J57" i="5"/>
  <c r="K45" i="5"/>
  <c r="K53" i="5"/>
  <c r="L41" i="5"/>
  <c r="L49" i="5"/>
  <c r="L57" i="5"/>
  <c r="M45" i="5"/>
  <c r="M53" i="5"/>
  <c r="N41" i="5"/>
  <c r="N49" i="5"/>
  <c r="N57" i="5"/>
  <c r="O45" i="5"/>
  <c r="O53" i="5"/>
  <c r="C1" i="26"/>
  <c r="J52" i="5"/>
  <c r="E83" i="8"/>
  <c r="E91" i="8"/>
  <c r="E95" i="8"/>
  <c r="E99" i="8"/>
  <c r="D40" i="5"/>
  <c r="D50" i="5"/>
  <c r="E114" i="8"/>
  <c r="F78" i="8"/>
  <c r="F85" i="8"/>
  <c r="F93" i="8"/>
  <c r="F97" i="8"/>
  <c r="F102" i="8"/>
  <c r="E42" i="5"/>
  <c r="E46" i="5"/>
  <c r="E50" i="5"/>
  <c r="E54" i="5"/>
  <c r="E58" i="5"/>
  <c r="F122" i="8"/>
  <c r="G77" i="8"/>
  <c r="G84" i="8"/>
  <c r="G92" i="8"/>
  <c r="G96" i="8"/>
  <c r="G100" i="8"/>
  <c r="G66" i="8"/>
  <c r="H83" i="8"/>
  <c r="H91" i="8"/>
  <c r="H95" i="8"/>
  <c r="H99" i="8"/>
  <c r="G40" i="5"/>
  <c r="G44" i="5"/>
  <c r="G48" i="5"/>
  <c r="G52" i="5"/>
  <c r="G56" i="5"/>
  <c r="H66" i="8"/>
  <c r="I83" i="8"/>
  <c r="I91" i="8"/>
  <c r="I95" i="8"/>
  <c r="I99" i="8"/>
  <c r="H40" i="5"/>
  <c r="H44" i="5"/>
  <c r="H48" i="5"/>
  <c r="H52" i="5"/>
  <c r="H56" i="5"/>
  <c r="I115" i="8"/>
  <c r="J79" i="8"/>
  <c r="J87" i="8"/>
  <c r="J94" i="8"/>
  <c r="J98" i="8"/>
  <c r="J115" i="8"/>
  <c r="K79" i="8"/>
  <c r="K87" i="8"/>
  <c r="K94" i="8"/>
  <c r="K98" i="8"/>
  <c r="J58" i="5"/>
  <c r="K122" i="8"/>
  <c r="L77" i="8"/>
  <c r="L84" i="8"/>
  <c r="L92" i="8"/>
  <c r="L96" i="8"/>
  <c r="L100" i="8"/>
  <c r="K46" i="5"/>
  <c r="K50" i="5"/>
  <c r="K54" i="5"/>
  <c r="K58" i="5"/>
  <c r="L122" i="8"/>
  <c r="M77" i="8"/>
  <c r="M84" i="8"/>
  <c r="M92" i="8"/>
  <c r="M96" i="8"/>
  <c r="M100" i="8"/>
  <c r="M66" i="8"/>
  <c r="N83" i="8"/>
  <c r="N91" i="8"/>
  <c r="N95" i="8"/>
  <c r="N99" i="8"/>
  <c r="M40" i="5"/>
  <c r="M44" i="5"/>
  <c r="M48" i="5"/>
  <c r="M52" i="5"/>
  <c r="M56" i="5"/>
  <c r="N115" i="8"/>
  <c r="O79" i="8"/>
  <c r="O87" i="8"/>
  <c r="O94" i="8"/>
  <c r="O98" i="8"/>
  <c r="O114" i="8"/>
  <c r="O116" i="8"/>
  <c r="M51" i="11"/>
  <c r="P78" i="8"/>
  <c r="P85" i="8"/>
  <c r="P93" i="8"/>
  <c r="P97" i="8"/>
  <c r="P102" i="8"/>
  <c r="O42" i="5"/>
  <c r="O46" i="5"/>
  <c r="O50" i="5"/>
  <c r="O54" i="5"/>
  <c r="O58" i="5"/>
  <c r="P114" i="8"/>
  <c r="D114" i="8"/>
  <c r="D116" i="8"/>
  <c r="D39" i="5"/>
  <c r="D47" i="5"/>
  <c r="D55" i="5"/>
  <c r="E43" i="5"/>
  <c r="E51" i="5"/>
  <c r="F39" i="5"/>
  <c r="F47" i="5"/>
  <c r="F55" i="5"/>
  <c r="G43" i="5"/>
  <c r="G51" i="5"/>
  <c r="H39" i="5"/>
  <c r="H47" i="5"/>
  <c r="H55" i="5"/>
  <c r="I43" i="5"/>
  <c r="I51" i="5"/>
  <c r="J39" i="5"/>
  <c r="J47" i="5"/>
  <c r="J55" i="5"/>
  <c r="K43" i="5"/>
  <c r="K51" i="5"/>
  <c r="L39" i="5"/>
  <c r="L47" i="5"/>
  <c r="L55" i="5"/>
  <c r="M43" i="5"/>
  <c r="M51" i="5"/>
  <c r="N39" i="5"/>
  <c r="N47" i="5"/>
  <c r="N55" i="5"/>
  <c r="O43" i="5"/>
  <c r="O51" i="5"/>
  <c r="K44" i="5"/>
  <c r="D58" i="5"/>
  <c r="J48" i="5"/>
  <c r="D54" i="5"/>
  <c r="E79" i="8"/>
  <c r="E87" i="8"/>
  <c r="E94" i="8"/>
  <c r="E98" i="8"/>
  <c r="D44" i="5"/>
  <c r="E122" i="8"/>
  <c r="F77" i="8"/>
  <c r="F84" i="8"/>
  <c r="F92" i="8"/>
  <c r="F96" i="8"/>
  <c r="F100" i="8"/>
  <c r="F66" i="8"/>
  <c r="G83" i="8"/>
  <c r="G91" i="8"/>
  <c r="G95" i="8"/>
  <c r="G99" i="8"/>
  <c r="F40" i="5"/>
  <c r="F44" i="5"/>
  <c r="F48" i="5"/>
  <c r="F52" i="5"/>
  <c r="F56" i="5"/>
  <c r="G115" i="8"/>
  <c r="H79" i="8"/>
  <c r="H87" i="8"/>
  <c r="H94" i="8"/>
  <c r="H98" i="8"/>
  <c r="H115" i="8"/>
  <c r="I79" i="8"/>
  <c r="I87" i="8"/>
  <c r="I94" i="8"/>
  <c r="I98" i="8"/>
  <c r="I114" i="8"/>
  <c r="J78" i="8"/>
  <c r="J85" i="8"/>
  <c r="J93" i="8"/>
  <c r="J97" i="8"/>
  <c r="J102" i="8"/>
  <c r="I42" i="5"/>
  <c r="I46" i="5"/>
  <c r="I50" i="5"/>
  <c r="I54" i="5"/>
  <c r="I58" i="5"/>
  <c r="J114" i="8"/>
  <c r="J116" i="8"/>
  <c r="H51" i="11"/>
  <c r="K78" i="8"/>
  <c r="K85" i="8"/>
  <c r="K93" i="8"/>
  <c r="K97" i="8"/>
  <c r="K102" i="8"/>
  <c r="J42" i="5"/>
  <c r="J46" i="5"/>
  <c r="K66" i="8"/>
  <c r="L83" i="8"/>
  <c r="L91" i="8"/>
  <c r="L95" i="8"/>
  <c r="L99" i="8"/>
  <c r="K40" i="5"/>
  <c r="L66" i="8"/>
  <c r="M83" i="8"/>
  <c r="M91" i="8"/>
  <c r="M95" i="8"/>
  <c r="M99" i="8"/>
  <c r="L40" i="5"/>
  <c r="L44" i="5"/>
  <c r="L48" i="5"/>
  <c r="L52" i="5"/>
  <c r="L56" i="5"/>
  <c r="M115" i="8"/>
  <c r="M116" i="8"/>
  <c r="K51" i="11"/>
  <c r="N79" i="8"/>
  <c r="N87" i="8"/>
  <c r="N94" i="8"/>
  <c r="N98" i="8"/>
  <c r="N114" i="8"/>
  <c r="O78" i="8"/>
  <c r="O85" i="8"/>
  <c r="O93" i="8"/>
  <c r="O97" i="8"/>
  <c r="O102" i="8"/>
  <c r="N42" i="5"/>
  <c r="N46" i="5"/>
  <c r="N50" i="5"/>
  <c r="N54" i="5"/>
  <c r="N58" i="5"/>
  <c r="O122" i="8"/>
  <c r="P77" i="8"/>
  <c r="P84" i="8"/>
  <c r="P92" i="8"/>
  <c r="P96" i="8"/>
  <c r="P100" i="8"/>
  <c r="P122" i="8"/>
  <c r="D45" i="5"/>
  <c r="D53" i="5"/>
  <c r="E41" i="5"/>
  <c r="E49" i="5"/>
  <c r="E57" i="5"/>
  <c r="F45" i="5"/>
  <c r="F53" i="5"/>
  <c r="G41" i="5"/>
  <c r="G49" i="5"/>
  <c r="G57" i="5"/>
  <c r="H45" i="5"/>
  <c r="H53" i="5"/>
  <c r="I41" i="5"/>
  <c r="I49" i="5"/>
  <c r="I57" i="5"/>
  <c r="J45" i="5"/>
  <c r="J53" i="5"/>
  <c r="K41" i="5"/>
  <c r="K49" i="5"/>
  <c r="K57" i="5"/>
  <c r="L45" i="5"/>
  <c r="L53" i="5"/>
  <c r="M41" i="5"/>
  <c r="M49" i="5"/>
  <c r="M57" i="5"/>
  <c r="N45" i="5"/>
  <c r="N53" i="5"/>
  <c r="O41" i="5"/>
  <c r="O49" i="5"/>
  <c r="O57" i="5"/>
  <c r="D42" i="5"/>
  <c r="G99" i="6"/>
  <c r="J92" i="6"/>
  <c r="M96" i="6"/>
  <c r="D108" i="6"/>
  <c r="G106" i="6"/>
  <c r="K98" i="6"/>
  <c r="N100" i="6"/>
  <c r="D97" i="6"/>
  <c r="K95" i="6"/>
  <c r="E115" i="6"/>
  <c r="I93" i="6"/>
  <c r="K115" i="6"/>
  <c r="O99" i="6"/>
  <c r="F100" i="6"/>
  <c r="I108" i="6"/>
  <c r="M98" i="6"/>
  <c r="D94" i="6"/>
  <c r="J108" i="6"/>
  <c r="G94" i="6"/>
  <c r="J99" i="6"/>
  <c r="M97" i="6"/>
  <c r="E93" i="6"/>
  <c r="I94" i="6"/>
  <c r="M114" i="6"/>
  <c r="F95" i="6"/>
  <c r="I100" i="6"/>
  <c r="L100" i="6"/>
  <c r="O100" i="6"/>
  <c r="G115" i="6"/>
  <c r="L98" i="6"/>
  <c r="E95" i="6"/>
  <c r="H101" i="6"/>
  <c r="K101" i="6"/>
  <c r="N106" i="6"/>
  <c r="F108" i="6"/>
  <c r="J112" i="6"/>
  <c r="O98" i="6"/>
  <c r="G98" i="6"/>
  <c r="J106" i="6"/>
  <c r="M101" i="6"/>
  <c r="K90" i="36"/>
  <c r="T90" i="36"/>
  <c r="AU115" i="23"/>
  <c r="AC115" i="23"/>
  <c r="AL114" i="23"/>
  <c r="K173" i="23"/>
  <c r="K91" i="36"/>
  <c r="T91" i="36"/>
  <c r="AU116" i="23"/>
  <c r="AC116" i="23"/>
  <c r="AL115" i="23"/>
  <c r="K174" i="23"/>
  <c r="T92" i="36"/>
  <c r="K92" i="36"/>
  <c r="AU117" i="23"/>
  <c r="AL116" i="23"/>
  <c r="AC117" i="23"/>
  <c r="K175" i="23"/>
  <c r="T93" i="36"/>
  <c r="K93" i="36"/>
  <c r="AU118" i="23"/>
  <c r="AL117" i="23"/>
  <c r="AC118" i="23"/>
  <c r="K176" i="23"/>
  <c r="K94" i="36"/>
  <c r="T94" i="36"/>
  <c r="AU119" i="23"/>
  <c r="AL118" i="23"/>
  <c r="AC119" i="23"/>
  <c r="K177" i="23"/>
  <c r="K95" i="36"/>
  <c r="T95" i="36"/>
  <c r="AU120" i="23"/>
  <c r="AL119" i="23"/>
  <c r="AC120" i="23"/>
  <c r="K178" i="23"/>
  <c r="T96" i="36"/>
  <c r="K96" i="36"/>
  <c r="AU121" i="23"/>
  <c r="AL120" i="23"/>
  <c r="AC121" i="23"/>
  <c r="K179" i="23"/>
  <c r="AU122" i="23"/>
  <c r="AC122" i="23"/>
  <c r="AL121" i="23"/>
  <c r="K180" i="23"/>
  <c r="AU123" i="23"/>
  <c r="AL122" i="23"/>
  <c r="AC123" i="23"/>
  <c r="K181" i="23"/>
  <c r="AU124" i="23"/>
  <c r="AC124" i="23"/>
  <c r="AL123" i="23"/>
  <c r="K182" i="23"/>
  <c r="AU125" i="23"/>
  <c r="AL124" i="23"/>
  <c r="AC125" i="23"/>
  <c r="K183" i="23"/>
  <c r="AU126" i="23"/>
  <c r="AC126" i="23"/>
  <c r="AL125" i="23"/>
  <c r="K184" i="23"/>
  <c r="AU127" i="23"/>
  <c r="AL126" i="23"/>
  <c r="AC127" i="23"/>
  <c r="K185" i="23"/>
  <c r="AU128" i="23"/>
  <c r="AC128" i="23"/>
  <c r="AL127" i="23"/>
  <c r="K186" i="23"/>
  <c r="AU129" i="23"/>
  <c r="AL128" i="23"/>
  <c r="AC129" i="23"/>
  <c r="K187" i="23"/>
  <c r="AU130" i="23"/>
  <c r="AL129" i="23"/>
  <c r="AC130" i="23"/>
  <c r="K188" i="23"/>
  <c r="AU131" i="23"/>
  <c r="AC131" i="23"/>
  <c r="AL130" i="23"/>
  <c r="K189" i="23"/>
  <c r="AU132" i="23"/>
  <c r="AL131" i="23"/>
  <c r="AC132" i="23"/>
  <c r="K190" i="23"/>
  <c r="AU133" i="23"/>
  <c r="AL132" i="23"/>
  <c r="AC133" i="23"/>
  <c r="K191" i="23"/>
  <c r="AU134" i="23"/>
  <c r="AC134" i="23"/>
  <c r="AL133" i="23"/>
  <c r="K192" i="23"/>
  <c r="AU135" i="23"/>
  <c r="AC135" i="23"/>
  <c r="AL134" i="23"/>
  <c r="K193" i="23"/>
  <c r="AU136" i="23"/>
  <c r="AC136" i="23"/>
  <c r="AL135" i="23"/>
  <c r="K194" i="23"/>
  <c r="AU137" i="23"/>
  <c r="AL136" i="23"/>
  <c r="AC137" i="23"/>
  <c r="K195" i="23"/>
  <c r="AU138" i="23"/>
  <c r="AC138" i="23"/>
  <c r="AL137" i="23"/>
  <c r="K196" i="23"/>
  <c r="AU139" i="23"/>
  <c r="AL138" i="23"/>
  <c r="AC139" i="23"/>
  <c r="K197" i="23"/>
  <c r="AU140" i="23"/>
  <c r="AL139" i="23"/>
  <c r="AC140" i="23"/>
  <c r="K198" i="23"/>
  <c r="AU141" i="23"/>
  <c r="AL140" i="23"/>
  <c r="AC141" i="23"/>
  <c r="K199" i="23"/>
  <c r="AU142" i="23"/>
  <c r="AC142" i="23"/>
  <c r="AL141" i="23"/>
  <c r="K200" i="23"/>
  <c r="AU143" i="23"/>
  <c r="AL142" i="23"/>
  <c r="AC143" i="23"/>
  <c r="K201" i="23"/>
  <c r="AU144" i="23"/>
  <c r="AL143" i="23"/>
  <c r="AC144" i="23"/>
  <c r="K202" i="23"/>
  <c r="AU145" i="23"/>
  <c r="AL144" i="23"/>
  <c r="AC145" i="23"/>
  <c r="K203" i="23"/>
  <c r="AU146" i="23"/>
  <c r="AC146" i="23"/>
  <c r="AL145" i="23"/>
  <c r="K204" i="23"/>
  <c r="AU147" i="23"/>
  <c r="AL146" i="23"/>
  <c r="AC147" i="23"/>
  <c r="K205" i="23"/>
  <c r="AU148" i="23"/>
  <c r="AC148" i="23"/>
  <c r="AL147" i="23"/>
  <c r="K206" i="23"/>
  <c r="AU149" i="23"/>
  <c r="AL148" i="23"/>
  <c r="AC149" i="23"/>
  <c r="K207" i="23"/>
  <c r="AU150" i="23"/>
  <c r="AC150" i="23"/>
  <c r="AL149" i="23"/>
  <c r="K208" i="23"/>
  <c r="AU151" i="23"/>
  <c r="AL150" i="23"/>
  <c r="AC151" i="23"/>
  <c r="K209" i="23"/>
  <c r="AU152" i="23"/>
  <c r="AC152" i="23"/>
  <c r="AL151" i="23"/>
  <c r="K210" i="23"/>
  <c r="AU153" i="23"/>
  <c r="AL152" i="23"/>
  <c r="AC153" i="23"/>
  <c r="K211" i="23"/>
  <c r="AU154" i="23"/>
  <c r="AC154" i="23"/>
  <c r="AL153" i="23"/>
  <c r="K212" i="23"/>
  <c r="AU155" i="23"/>
  <c r="AL154" i="23"/>
  <c r="AC155" i="23"/>
  <c r="K213" i="23"/>
  <c r="AU156" i="23"/>
  <c r="AC156" i="23"/>
  <c r="AL155" i="23"/>
  <c r="K214" i="23"/>
  <c r="AU157" i="23"/>
  <c r="AC157" i="23"/>
  <c r="AL156" i="23"/>
  <c r="K215" i="23"/>
  <c r="AU158" i="23"/>
  <c r="AC158" i="23"/>
  <c r="AL157" i="23"/>
  <c r="K216" i="23"/>
  <c r="AU159" i="23"/>
  <c r="AL158" i="23"/>
  <c r="AC159" i="23"/>
  <c r="K217" i="23"/>
  <c r="AU160" i="23"/>
  <c r="AC160" i="23"/>
  <c r="AL159" i="23"/>
  <c r="K218" i="23"/>
  <c r="AU161" i="23"/>
  <c r="AL160" i="23"/>
  <c r="AC161" i="23"/>
  <c r="K219" i="23"/>
  <c r="AU162" i="23"/>
  <c r="AL161" i="23"/>
  <c r="AC162" i="23"/>
  <c r="K220" i="23"/>
  <c r="AU163" i="23"/>
  <c r="AL162" i="23"/>
  <c r="AC163" i="23"/>
  <c r="K221" i="23"/>
  <c r="AU164" i="23"/>
  <c r="AC164" i="23"/>
  <c r="AL163" i="23"/>
  <c r="K222" i="23"/>
  <c r="AU165" i="23"/>
  <c r="AL164" i="23"/>
  <c r="AC165" i="23"/>
  <c r="K223" i="23"/>
  <c r="AU166" i="23"/>
  <c r="AL165" i="23"/>
  <c r="AC166" i="23"/>
  <c r="K224" i="23"/>
  <c r="AU167" i="23"/>
  <c r="AL166" i="23"/>
  <c r="AC167" i="23"/>
  <c r="K225" i="23"/>
  <c r="AU168" i="23"/>
  <c r="AC168" i="23"/>
  <c r="AL167" i="23"/>
  <c r="K226" i="23"/>
  <c r="AU169" i="23"/>
  <c r="AL168" i="23"/>
  <c r="AC169" i="23"/>
  <c r="K227" i="23"/>
  <c r="AU170" i="23"/>
  <c r="AL169" i="23"/>
  <c r="AC170" i="23"/>
  <c r="K228" i="23"/>
  <c r="AU171" i="23"/>
  <c r="AC171" i="23"/>
  <c r="AL170" i="23"/>
  <c r="K229" i="23"/>
  <c r="AU172" i="23"/>
  <c r="AL171" i="23"/>
  <c r="AC172" i="23"/>
  <c r="AU173" i="23"/>
  <c r="AC173" i="23"/>
  <c r="AL172" i="23"/>
  <c r="AU174" i="23"/>
  <c r="AL173" i="23"/>
  <c r="AC174" i="23"/>
  <c r="AU175" i="23"/>
  <c r="AL174" i="23"/>
  <c r="AC175" i="23"/>
  <c r="AU176" i="23"/>
  <c r="AL175" i="23"/>
  <c r="AC176" i="23"/>
  <c r="AU177" i="23"/>
  <c r="AL176" i="23"/>
  <c r="AC177" i="23"/>
  <c r="AU178" i="23"/>
  <c r="AC178" i="23"/>
  <c r="AL177" i="23"/>
  <c r="AU179" i="23"/>
  <c r="AC179" i="23"/>
  <c r="AL178" i="23"/>
  <c r="AU180" i="23"/>
  <c r="AC180" i="23"/>
  <c r="AL179" i="23"/>
  <c r="AU181" i="23"/>
  <c r="AL180" i="23"/>
  <c r="AC181" i="23"/>
  <c r="AU182" i="23"/>
  <c r="AL181" i="23"/>
  <c r="AC182" i="23"/>
  <c r="AU183" i="23"/>
  <c r="AC183" i="23"/>
  <c r="AL182" i="23"/>
  <c r="AU184" i="23"/>
  <c r="AC184" i="23"/>
  <c r="AL183" i="23"/>
  <c r="AU185" i="23"/>
  <c r="AL184" i="23"/>
  <c r="AC185" i="23"/>
  <c r="AU186" i="23"/>
  <c r="AL185" i="23"/>
  <c r="AC186" i="23"/>
  <c r="AU187" i="23"/>
  <c r="AL186" i="23"/>
  <c r="AC187" i="23"/>
  <c r="AU188" i="23"/>
  <c r="AC188" i="23"/>
  <c r="AL187" i="23"/>
  <c r="AU189" i="23"/>
  <c r="AC189" i="23"/>
  <c r="AL188" i="23"/>
  <c r="AU190" i="23"/>
  <c r="AL189" i="23"/>
  <c r="AC190" i="23"/>
  <c r="AU191" i="23"/>
  <c r="AC191" i="23"/>
  <c r="AL190" i="23"/>
  <c r="AU192" i="23"/>
  <c r="AC192" i="23"/>
  <c r="AL191" i="23"/>
  <c r="AU193" i="23"/>
  <c r="AL192" i="23"/>
  <c r="AC193" i="23"/>
  <c r="AU194" i="23"/>
  <c r="AL193" i="23"/>
  <c r="AC194" i="23"/>
  <c r="AU195" i="23"/>
  <c r="AL194" i="23"/>
  <c r="AC195" i="23"/>
  <c r="AU196" i="23"/>
  <c r="AC196" i="23"/>
  <c r="AL195" i="23"/>
  <c r="AU197" i="23"/>
  <c r="AL196" i="23"/>
  <c r="AC197" i="23"/>
  <c r="AU198" i="23"/>
  <c r="AL197" i="23"/>
  <c r="AC198" i="23"/>
  <c r="AU199" i="23"/>
  <c r="AL198" i="23"/>
  <c r="AC199" i="23"/>
  <c r="AU200" i="23"/>
  <c r="AC200" i="23"/>
  <c r="AL199" i="23"/>
  <c r="AU201" i="23"/>
  <c r="AC201" i="23"/>
  <c r="AL200" i="23"/>
  <c r="AU202" i="23"/>
  <c r="AC202" i="23"/>
  <c r="AL201" i="23"/>
  <c r="AU203" i="23"/>
  <c r="AL202" i="23"/>
  <c r="AC203" i="23"/>
  <c r="AU204" i="23"/>
  <c r="AL203" i="23"/>
  <c r="AC204" i="23"/>
  <c r="AU205" i="23"/>
  <c r="AL204" i="23"/>
  <c r="AC205" i="23"/>
  <c r="AU206" i="23"/>
  <c r="AC206" i="23"/>
  <c r="AL205" i="23"/>
  <c r="AU207" i="23"/>
  <c r="AL206" i="23"/>
  <c r="AC207" i="23"/>
  <c r="AU208" i="23"/>
  <c r="AL207" i="23"/>
  <c r="AC208" i="23"/>
  <c r="AU209" i="23"/>
  <c r="AC209" i="23"/>
  <c r="AL208" i="23"/>
  <c r="AU210" i="23"/>
  <c r="AL209" i="23"/>
  <c r="AC210" i="23"/>
  <c r="AU211" i="23"/>
  <c r="AL210" i="23"/>
  <c r="AC211" i="23"/>
  <c r="AU212" i="23"/>
  <c r="AL211" i="23"/>
  <c r="AC212" i="23"/>
  <c r="AU213" i="23"/>
  <c r="AC213" i="23"/>
  <c r="AL212" i="23"/>
  <c r="AU214" i="23"/>
  <c r="AC214" i="23"/>
  <c r="AL213" i="23"/>
  <c r="AU215" i="23"/>
  <c r="AC215" i="23"/>
  <c r="AL214" i="23"/>
  <c r="AU216" i="23"/>
  <c r="AL215" i="23"/>
  <c r="AC216" i="23"/>
  <c r="AU217" i="23"/>
  <c r="AL216" i="23"/>
  <c r="AC217" i="23"/>
  <c r="AU218" i="23"/>
  <c r="AC218" i="23"/>
  <c r="AL217" i="23"/>
  <c r="AU219" i="23"/>
  <c r="AL218" i="23"/>
  <c r="AC219" i="23"/>
  <c r="AU220" i="23"/>
  <c r="AC220" i="23"/>
  <c r="AL219" i="23"/>
  <c r="AU221" i="23"/>
  <c r="AC221" i="23"/>
  <c r="AL220" i="23"/>
  <c r="AU222" i="23"/>
  <c r="AC222" i="23"/>
  <c r="AL221" i="23"/>
  <c r="AU223" i="23"/>
  <c r="AC223" i="23"/>
  <c r="AL222" i="23"/>
  <c r="AU224" i="23"/>
  <c r="AC224" i="23"/>
  <c r="AL223" i="23"/>
  <c r="AU225" i="23"/>
  <c r="AC225" i="23"/>
  <c r="AL224" i="23"/>
  <c r="AU226" i="23"/>
  <c r="AC226" i="23"/>
  <c r="AL225" i="23"/>
  <c r="AU227" i="23"/>
  <c r="AL226" i="23"/>
  <c r="AC227" i="23"/>
  <c r="AU228" i="23"/>
  <c r="AC228" i="23"/>
  <c r="AL227" i="23"/>
  <c r="AU229" i="23"/>
  <c r="AL228" i="23"/>
  <c r="AC229" i="23"/>
  <c r="AL229" i="23"/>
  <c r="I257" i="8"/>
  <c r="C149" i="8"/>
  <c r="B124" i="6"/>
  <c r="P168" i="6"/>
  <c r="G17" i="6"/>
  <c r="P103" i="6"/>
  <c r="C24" i="6"/>
  <c r="B35" i="23"/>
  <c r="T35" i="23"/>
  <c r="C260" i="8"/>
  <c r="J137" i="6"/>
  <c r="D137" i="6"/>
  <c r="D257" i="6"/>
  <c r="J257" i="6"/>
  <c r="I257" i="6"/>
  <c r="C257" i="6"/>
  <c r="G257" i="6"/>
  <c r="K257" i="6"/>
  <c r="F257" i="6"/>
  <c r="E257" i="6"/>
  <c r="L257" i="6"/>
  <c r="M257" i="6"/>
  <c r="B141" i="26"/>
  <c r="C236" i="26"/>
  <c r="B16" i="5"/>
  <c r="B43" i="5"/>
  <c r="B69" i="5"/>
  <c r="B95" i="5"/>
  <c r="B15" i="6"/>
  <c r="B105" i="26"/>
  <c r="P65" i="5"/>
  <c r="F12" i="5"/>
  <c r="H20" i="52"/>
  <c r="J20" i="52"/>
  <c r="B33" i="52"/>
  <c r="C18" i="52"/>
  <c r="I20" i="52"/>
  <c r="D20" i="52"/>
  <c r="B84" i="52"/>
  <c r="D75" i="36"/>
  <c r="D79" i="36"/>
  <c r="D174" i="6"/>
  <c r="C90" i="11"/>
  <c r="P164" i="6"/>
  <c r="G13" i="6"/>
  <c r="P153" i="6"/>
  <c r="F16" i="6"/>
  <c r="D160" i="6"/>
  <c r="L50" i="84"/>
  <c r="L52" i="84"/>
  <c r="L53" i="84"/>
  <c r="L54" i="84"/>
  <c r="L55" i="84"/>
  <c r="J36" i="84"/>
  <c r="D93" i="6"/>
  <c r="E92" i="6"/>
  <c r="F109" i="6"/>
  <c r="H107" i="6"/>
  <c r="I114" i="6"/>
  <c r="K92" i="6"/>
  <c r="L108" i="6"/>
  <c r="N94" i="6"/>
  <c r="D96" i="6"/>
  <c r="E109" i="6"/>
  <c r="G97" i="6"/>
  <c r="H113" i="6"/>
  <c r="J109" i="6"/>
  <c r="L106" i="6"/>
  <c r="N92" i="6"/>
  <c r="O101" i="6"/>
  <c r="D99" i="6"/>
  <c r="G92" i="6"/>
  <c r="J97" i="6"/>
  <c r="M110" i="6"/>
  <c r="E107" i="6"/>
  <c r="G95" i="6"/>
  <c r="H111" i="6"/>
  <c r="J96" i="6"/>
  <c r="K107" i="6"/>
  <c r="M92" i="6"/>
  <c r="N109" i="6"/>
  <c r="D101" i="6"/>
  <c r="F92" i="6"/>
  <c r="G101" i="6"/>
  <c r="I99" i="6"/>
  <c r="K94" i="6"/>
  <c r="L110" i="6"/>
  <c r="N107" i="6"/>
  <c r="O114" i="6"/>
  <c r="E97" i="6"/>
  <c r="I109" i="6"/>
  <c r="N93" i="6"/>
  <c r="F99" i="6"/>
  <c r="D107" i="6"/>
  <c r="F98" i="6"/>
  <c r="H96" i="6"/>
  <c r="I106" i="6"/>
  <c r="J111" i="6"/>
  <c r="L99" i="6"/>
  <c r="M115" i="6"/>
  <c r="O112" i="6"/>
  <c r="E98" i="6"/>
  <c r="F115" i="6"/>
  <c r="H94" i="6"/>
  <c r="J98" i="6"/>
  <c r="L97" i="6"/>
  <c r="M113" i="6"/>
  <c r="O93" i="6"/>
  <c r="D110" i="6"/>
  <c r="F97" i="6"/>
  <c r="I98" i="6"/>
  <c r="L113" i="6"/>
  <c r="E96" i="6"/>
  <c r="F113" i="6"/>
  <c r="H100" i="6"/>
  <c r="I110" i="6"/>
  <c r="K96" i="6"/>
  <c r="L112" i="6"/>
  <c r="N98" i="6"/>
  <c r="D112" i="6"/>
  <c r="E113" i="6"/>
  <c r="G93" i="6"/>
  <c r="H109" i="6"/>
  <c r="J113" i="6"/>
  <c r="L101" i="6"/>
  <c r="N96" i="6"/>
  <c r="O106" i="6"/>
  <c r="D106" i="6"/>
  <c r="H99" i="6"/>
  <c r="M95" i="6"/>
  <c r="E106" i="6"/>
  <c r="D79" i="24"/>
  <c r="D136" i="6"/>
  <c r="G136" i="6"/>
  <c r="I136" i="6"/>
  <c r="K136" i="6"/>
  <c r="N136" i="6"/>
  <c r="H136" i="6"/>
  <c r="M136" i="6"/>
  <c r="L136" i="6"/>
  <c r="C136" i="6"/>
  <c r="J136" i="6"/>
  <c r="F136" i="6"/>
  <c r="C254" i="8"/>
  <c r="C176" i="8"/>
  <c r="V98" i="23"/>
  <c r="V103" i="23"/>
  <c r="V104" i="23"/>
  <c r="V78" i="36"/>
  <c r="P95" i="5"/>
  <c r="H16" i="5"/>
  <c r="O235" i="8"/>
  <c r="O239" i="8"/>
  <c r="N232" i="6"/>
  <c r="L218" i="6"/>
  <c r="K252" i="8"/>
  <c r="I256" i="8"/>
  <c r="I248" i="8"/>
  <c r="H252" i="8"/>
  <c r="O111" i="5"/>
  <c r="I111" i="5"/>
  <c r="P103" i="5"/>
  <c r="H24" i="5"/>
  <c r="P107" i="5"/>
  <c r="H28" i="5"/>
  <c r="P91" i="5"/>
  <c r="H12" i="5"/>
  <c r="N218" i="6"/>
  <c r="L232" i="6"/>
  <c r="L234" i="6"/>
  <c r="L216" i="8"/>
  <c r="J232" i="6"/>
  <c r="J218" i="6"/>
  <c r="P100" i="5"/>
  <c r="H21" i="5"/>
  <c r="C79" i="6"/>
  <c r="F180" i="8"/>
  <c r="E34" i="19"/>
  <c r="L34" i="19"/>
  <c r="F36" i="19"/>
  <c r="I36" i="19"/>
  <c r="E23" i="19"/>
  <c r="G23" i="19"/>
  <c r="H23" i="19"/>
  <c r="K25" i="19"/>
  <c r="S18" i="25"/>
  <c r="U18" i="25"/>
  <c r="B96" i="11"/>
  <c r="B132" i="11"/>
  <c r="B129" i="26"/>
  <c r="C85" i="24"/>
  <c r="C77" i="20"/>
  <c r="C240" i="26"/>
  <c r="B19" i="6"/>
  <c r="G191" i="6"/>
  <c r="N191" i="6"/>
  <c r="M191" i="6"/>
  <c r="E191" i="6"/>
  <c r="F191" i="6"/>
  <c r="C191" i="6"/>
  <c r="I191" i="6"/>
  <c r="K191" i="6"/>
  <c r="D191" i="6"/>
  <c r="C277" i="8"/>
  <c r="C174" i="8"/>
  <c r="C252" i="8"/>
  <c r="B180" i="26"/>
  <c r="K114" i="24"/>
  <c r="D117" i="24"/>
  <c r="AE92" i="23"/>
  <c r="AF92" i="23"/>
  <c r="G180" i="8"/>
  <c r="I126" i="11"/>
  <c r="J234" i="6"/>
  <c r="J216" i="8"/>
  <c r="L23" i="19"/>
  <c r="D176" i="6"/>
  <c r="B170" i="6"/>
  <c r="B66" i="6"/>
  <c r="B228" i="6"/>
  <c r="B51" i="6"/>
  <c r="B156" i="6"/>
  <c r="B112" i="6"/>
  <c r="B81" i="6"/>
  <c r="B214" i="6"/>
  <c r="B98" i="6"/>
  <c r="B139" i="6"/>
  <c r="B197" i="6"/>
  <c r="B256" i="6"/>
  <c r="L220" i="6"/>
  <c r="M158" i="9"/>
  <c r="M159" i="9"/>
  <c r="N234" i="6"/>
  <c r="N216" i="8"/>
  <c r="M126" i="11"/>
  <c r="O35" i="23"/>
  <c r="F95" i="11"/>
  <c r="G182" i="8"/>
  <c r="B210" i="6"/>
  <c r="B166" i="6"/>
  <c r="B94" i="6"/>
  <c r="B135" i="6"/>
  <c r="B193" i="6"/>
  <c r="B252" i="6"/>
  <c r="B62" i="6"/>
  <c r="B224" i="6"/>
  <c r="B152" i="6"/>
  <c r="B77" i="6"/>
  <c r="B47" i="6"/>
  <c r="B108" i="6"/>
  <c r="L215" i="8"/>
  <c r="B34" i="52"/>
  <c r="C229" i="8"/>
  <c r="C151" i="8"/>
  <c r="B21" i="6"/>
  <c r="C87" i="24"/>
  <c r="C79" i="20"/>
  <c r="C242" i="26"/>
  <c r="B204" i="26"/>
  <c r="B28" i="5"/>
  <c r="B55" i="5"/>
  <c r="B81" i="5"/>
  <c r="B107" i="5"/>
  <c r="B117" i="26"/>
  <c r="B20" i="5"/>
  <c r="B47" i="5"/>
  <c r="B73" i="5"/>
  <c r="B99" i="5"/>
  <c r="C83" i="24"/>
  <c r="C75" i="20"/>
  <c r="C238" i="26"/>
  <c r="B17" i="6"/>
  <c r="B13" i="6"/>
  <c r="B208" i="6"/>
  <c r="D144" i="9"/>
  <c r="D165" i="9"/>
  <c r="J31" i="6"/>
  <c r="K126" i="11"/>
  <c r="M85" i="5"/>
  <c r="G85" i="5"/>
  <c r="P81" i="5"/>
  <c r="F28" i="5"/>
  <c r="P77" i="5"/>
  <c r="F24" i="5"/>
  <c r="P69" i="5"/>
  <c r="F16" i="5"/>
  <c r="B85" i="52"/>
  <c r="B86" i="52"/>
  <c r="D162" i="6"/>
  <c r="D137" i="8"/>
  <c r="E137" i="9"/>
  <c r="K198" i="6"/>
  <c r="J198" i="6"/>
  <c r="D198" i="6"/>
  <c r="C198" i="6"/>
  <c r="H198" i="6"/>
  <c r="I198" i="6"/>
  <c r="L199" i="6"/>
  <c r="F199" i="6"/>
  <c r="J199" i="6"/>
  <c r="H199" i="6"/>
  <c r="N199" i="6"/>
  <c r="C199" i="6"/>
  <c r="M199" i="6"/>
  <c r="I199" i="6"/>
  <c r="E199" i="6"/>
  <c r="D199" i="6"/>
  <c r="K199" i="6"/>
  <c r="B279" i="8"/>
  <c r="B201" i="8"/>
  <c r="C243" i="8"/>
  <c r="C165" i="8"/>
  <c r="G29" i="6"/>
  <c r="O270" i="8"/>
  <c r="O194" i="8"/>
  <c r="N87" i="11"/>
  <c r="K194" i="8"/>
  <c r="J87" i="11"/>
  <c r="G34" i="23"/>
  <c r="C34" i="23"/>
  <c r="D11" i="23"/>
  <c r="D91" i="23"/>
  <c r="L251" i="8"/>
  <c r="L180" i="8"/>
  <c r="L243" i="8"/>
  <c r="J252" i="8"/>
  <c r="H243" i="8"/>
  <c r="Q165" i="8"/>
  <c r="F241" i="8"/>
  <c r="E241" i="8"/>
  <c r="E244" i="8"/>
  <c r="E166" i="8"/>
  <c r="E32" i="19"/>
  <c r="L32" i="19"/>
  <c r="E24" i="19"/>
  <c r="L24" i="19"/>
  <c r="E22" i="19"/>
  <c r="E18" i="19"/>
  <c r="J18" i="19"/>
  <c r="E14" i="19"/>
  <c r="S15" i="25"/>
  <c r="U15" i="25"/>
  <c r="P51" i="5"/>
  <c r="D24" i="5"/>
  <c r="I232" i="6"/>
  <c r="F232" i="6"/>
  <c r="F234" i="6"/>
  <c r="F216" i="8"/>
  <c r="E111" i="6"/>
  <c r="I97" i="6"/>
  <c r="K111" i="6"/>
  <c r="O95" i="6"/>
  <c r="F107" i="6"/>
  <c r="I112" i="6"/>
  <c r="M94" i="6"/>
  <c r="D98" i="6"/>
  <c r="H106" i="6"/>
  <c r="D115" i="6"/>
  <c r="H92" i="6"/>
  <c r="J115" i="6"/>
  <c r="M111" i="6"/>
  <c r="E94" i="6"/>
  <c r="H98" i="6"/>
  <c r="L93" i="6"/>
  <c r="O97" i="6"/>
  <c r="G100" i="6"/>
  <c r="D92" i="6"/>
  <c r="I107" i="6"/>
  <c r="L107" i="6"/>
  <c r="O107" i="6"/>
  <c r="H95" i="6"/>
  <c r="L109" i="6"/>
  <c r="E99" i="6"/>
  <c r="H108" i="6"/>
  <c r="K108" i="6"/>
  <c r="N110" i="6"/>
  <c r="F112" i="6"/>
  <c r="K99" i="6"/>
  <c r="O109" i="6"/>
  <c r="G109" i="6"/>
  <c r="J110" i="6"/>
  <c r="M108" i="6"/>
  <c r="E108" i="6"/>
  <c r="I113" i="6"/>
  <c r="N97" i="6"/>
  <c r="F106" i="6"/>
  <c r="I111" i="6"/>
  <c r="L111" i="6"/>
  <c r="O111" i="6"/>
  <c r="E100" i="6"/>
  <c r="H115" i="6"/>
  <c r="K100" i="6"/>
  <c r="N113" i="6"/>
  <c r="F96" i="6"/>
  <c r="I95" i="6"/>
  <c r="L114" i="6"/>
  <c r="O110" i="6"/>
  <c r="G111" i="6"/>
  <c r="N101" i="6"/>
  <c r="G112" i="6"/>
  <c r="J107" i="6"/>
  <c r="M100" i="6"/>
  <c r="D111" i="6"/>
  <c r="G110" i="6"/>
  <c r="K113" i="6"/>
  <c r="N115" i="6"/>
  <c r="F101" i="6"/>
  <c r="O94" i="6"/>
  <c r="H112" i="6"/>
  <c r="K112" i="6"/>
  <c r="N114" i="6"/>
  <c r="G96" i="6"/>
  <c r="K106" i="6"/>
  <c r="O113" i="6"/>
  <c r="G113" i="6"/>
  <c r="J114" i="6"/>
  <c r="M112" i="6"/>
  <c r="E112" i="6"/>
  <c r="J93" i="6"/>
  <c r="N108" i="6"/>
  <c r="F110" i="6"/>
  <c r="I115" i="6"/>
  <c r="L115" i="6"/>
  <c r="O115" i="6"/>
  <c r="H110" i="6"/>
  <c r="M99" i="6"/>
  <c r="E110" i="6"/>
  <c r="I92" i="6"/>
  <c r="L92" i="6"/>
  <c r="O92" i="6"/>
  <c r="D100" i="6"/>
  <c r="G108" i="6"/>
  <c r="J100" i="6"/>
  <c r="M107" i="6"/>
  <c r="D95" i="6"/>
  <c r="G114" i="6"/>
  <c r="K109" i="6"/>
  <c r="N111" i="6"/>
  <c r="E101" i="6"/>
  <c r="K114" i="6"/>
  <c r="F94" i="6"/>
  <c r="I101" i="6"/>
  <c r="L95" i="6"/>
  <c r="O108" i="6"/>
  <c r="F111" i="6"/>
  <c r="J94" i="6"/>
  <c r="M109" i="6"/>
  <c r="D114" i="6"/>
  <c r="K110" i="6"/>
  <c r="H93" i="6"/>
  <c r="K93" i="6"/>
  <c r="N95" i="6"/>
  <c r="F93" i="6"/>
  <c r="J101" i="6"/>
  <c r="N112" i="6"/>
  <c r="F114" i="6"/>
  <c r="J95" i="6"/>
  <c r="M93" i="6"/>
  <c r="D109" i="6"/>
  <c r="H114" i="6"/>
  <c r="M106" i="6"/>
  <c r="E114" i="6"/>
  <c r="I96" i="6"/>
  <c r="L96" i="6"/>
  <c r="O96" i="6"/>
  <c r="G107" i="6"/>
  <c r="G116" i="6"/>
  <c r="L94" i="6"/>
  <c r="D113" i="6"/>
  <c r="H97" i="6"/>
  <c r="K97" i="6"/>
  <c r="N99" i="6"/>
  <c r="J127" i="24"/>
  <c r="M69" i="36"/>
  <c r="D103" i="23"/>
  <c r="D98" i="23"/>
  <c r="R242" i="26"/>
  <c r="S242" i="26"/>
  <c r="F79" i="20"/>
  <c r="D87" i="24"/>
  <c r="V242" i="26"/>
  <c r="T242" i="26"/>
  <c r="U235" i="26"/>
  <c r="L192" i="6"/>
  <c r="F72" i="20"/>
  <c r="R235" i="26"/>
  <c r="S235" i="26"/>
  <c r="V235" i="26"/>
  <c r="T235" i="26"/>
  <c r="R236" i="26"/>
  <c r="S236" i="26"/>
  <c r="U236" i="26"/>
  <c r="V236" i="26"/>
  <c r="T236" i="26"/>
  <c r="F68" i="20"/>
  <c r="F45" i="20"/>
  <c r="C15" i="10"/>
  <c r="F20" i="52"/>
  <c r="E20" i="52"/>
  <c r="N237" i="8"/>
  <c r="C179" i="8"/>
  <c r="E174" i="6"/>
  <c r="P281" i="8"/>
  <c r="P41" i="5"/>
  <c r="D14" i="5"/>
  <c r="AN91" i="23"/>
  <c r="J13" i="19"/>
  <c r="G32" i="19"/>
  <c r="K36" i="19"/>
  <c r="G15" i="19"/>
  <c r="L13" i="19"/>
  <c r="G13" i="19"/>
  <c r="H13" i="19"/>
  <c r="G22" i="19"/>
  <c r="H22" i="19"/>
  <c r="L22" i="19"/>
  <c r="B272" i="8"/>
  <c r="C200" i="8"/>
  <c r="G86" i="8"/>
  <c r="E58" i="11"/>
  <c r="K86" i="8"/>
  <c r="K88" i="8"/>
  <c r="C173" i="8"/>
  <c r="C253" i="8"/>
  <c r="C239" i="8"/>
  <c r="N116" i="8"/>
  <c r="L51" i="11"/>
  <c r="C255" i="8"/>
  <c r="K192" i="6"/>
  <c r="F192" i="6"/>
  <c r="E192" i="6"/>
  <c r="B225" i="6"/>
  <c r="B48" i="6"/>
  <c r="B153" i="6"/>
  <c r="B95" i="6"/>
  <c r="B136" i="6"/>
  <c r="B194" i="6"/>
  <c r="B253" i="6"/>
  <c r="B109" i="6"/>
  <c r="B211" i="6"/>
  <c r="B78" i="6"/>
  <c r="B63" i="6"/>
  <c r="B167" i="6"/>
  <c r="R115" i="8"/>
  <c r="G59" i="5"/>
  <c r="P42" i="5"/>
  <c r="D15" i="5"/>
  <c r="C46" i="6"/>
  <c r="P49" i="5"/>
  <c r="D22" i="5"/>
  <c r="J86" i="8"/>
  <c r="J88" i="8"/>
  <c r="I116" i="8"/>
  <c r="G51" i="11"/>
  <c r="M60" i="5"/>
  <c r="N101" i="8"/>
  <c r="N103" i="8"/>
  <c r="L34" i="23"/>
  <c r="L59" i="5"/>
  <c r="J59" i="5"/>
  <c r="Q181" i="8"/>
  <c r="P57" i="5"/>
  <c r="D30" i="5"/>
  <c r="P45" i="5"/>
  <c r="D18" i="5"/>
  <c r="P53" i="5"/>
  <c r="D26" i="5"/>
  <c r="M59" i="5"/>
  <c r="H59" i="5"/>
  <c r="E59" i="5"/>
  <c r="K116" i="8"/>
  <c r="I51" i="11"/>
  <c r="P44" i="5"/>
  <c r="D17" i="5"/>
  <c r="C47" i="6"/>
  <c r="I60" i="5"/>
  <c r="R91" i="8"/>
  <c r="K59" i="5"/>
  <c r="P47" i="5"/>
  <c r="D20" i="5"/>
  <c r="P54" i="5"/>
  <c r="D27" i="5"/>
  <c r="C52" i="6"/>
  <c r="R84" i="8"/>
  <c r="B35" i="52"/>
  <c r="J85" i="52"/>
  <c r="P58" i="5"/>
  <c r="D31" i="5"/>
  <c r="C54" i="6"/>
  <c r="J60" i="5"/>
  <c r="H60" i="5"/>
  <c r="H125" i="6"/>
  <c r="P52" i="5"/>
  <c r="D25" i="5"/>
  <c r="C51" i="6"/>
  <c r="R66" i="8"/>
  <c r="H32" i="19"/>
  <c r="N60" i="5"/>
  <c r="L60" i="5"/>
  <c r="C84" i="9"/>
  <c r="C80" i="9"/>
  <c r="F60" i="5"/>
  <c r="F121" i="6"/>
  <c r="B179" i="6"/>
  <c r="B121" i="6"/>
  <c r="B237" i="6"/>
  <c r="G34" i="19"/>
  <c r="H34" i="19"/>
  <c r="G88" i="8"/>
  <c r="I59" i="5"/>
  <c r="F59" i="5"/>
  <c r="D59" i="5"/>
  <c r="P39" i="5"/>
  <c r="D12" i="5"/>
  <c r="H133" i="6"/>
  <c r="G133" i="6"/>
  <c r="E133" i="6"/>
  <c r="C133" i="6"/>
  <c r="D133" i="6"/>
  <c r="K133" i="6"/>
  <c r="J133" i="6"/>
  <c r="I133" i="6"/>
  <c r="F133" i="6"/>
  <c r="L270" i="8"/>
  <c r="L272" i="8"/>
  <c r="K123" i="11"/>
  <c r="K278" i="8"/>
  <c r="O59" i="5"/>
  <c r="P55" i="5"/>
  <c r="D28" i="5"/>
  <c r="P43" i="5"/>
  <c r="D16" i="5"/>
  <c r="K60" i="5"/>
  <c r="H126" i="11"/>
  <c r="I234" i="6"/>
  <c r="C196" i="8"/>
  <c r="C274" i="8"/>
  <c r="C169" i="8"/>
  <c r="C247" i="8"/>
  <c r="I50" i="84"/>
  <c r="I52" i="84"/>
  <c r="I53" i="84"/>
  <c r="G36" i="84"/>
  <c r="O180" i="8"/>
  <c r="O242" i="8"/>
  <c r="I251" i="8"/>
  <c r="I180" i="8"/>
  <c r="I182" i="8"/>
  <c r="H232" i="6"/>
  <c r="H251" i="8"/>
  <c r="G257" i="8"/>
  <c r="G250" i="8"/>
  <c r="E17" i="19"/>
  <c r="N59" i="5"/>
  <c r="O60" i="5"/>
  <c r="M232" i="6"/>
  <c r="H218" i="6"/>
  <c r="H257" i="6"/>
  <c r="N257" i="6"/>
  <c r="C162" i="8"/>
  <c r="C240" i="8"/>
  <c r="B122" i="6"/>
  <c r="B180" i="6"/>
  <c r="B22" i="5"/>
  <c r="B49" i="5"/>
  <c r="B75" i="5"/>
  <c r="B101" i="5"/>
  <c r="B18" i="6"/>
  <c r="B186" i="26"/>
  <c r="C239" i="26"/>
  <c r="B123" i="26"/>
  <c r="B168" i="26"/>
  <c r="C81" i="24"/>
  <c r="C73" i="20"/>
  <c r="C139" i="52"/>
  <c r="D139" i="52"/>
  <c r="C155" i="52"/>
  <c r="D155" i="52"/>
  <c r="C161" i="52"/>
  <c r="D161" i="52"/>
  <c r="C140" i="52"/>
  <c r="D140" i="52"/>
  <c r="C145" i="52"/>
  <c r="D145" i="52"/>
  <c r="C152" i="52"/>
  <c r="D152" i="52"/>
  <c r="C154" i="52"/>
  <c r="D154" i="52"/>
  <c r="C157" i="52"/>
  <c r="D157" i="52"/>
  <c r="C160" i="52"/>
  <c r="D160" i="52"/>
  <c r="C164" i="52"/>
  <c r="D164" i="52"/>
  <c r="C181" i="52"/>
  <c r="D181" i="52"/>
  <c r="C141" i="52"/>
  <c r="D141" i="52"/>
  <c r="C144" i="52"/>
  <c r="D144" i="52"/>
  <c r="C172" i="52"/>
  <c r="D172" i="52"/>
  <c r="C176" i="52"/>
  <c r="D176" i="52"/>
  <c r="C180" i="52"/>
  <c r="D180" i="52"/>
  <c r="C147" i="52"/>
  <c r="D147" i="52"/>
  <c r="C166" i="52"/>
  <c r="D166" i="52"/>
  <c r="C184" i="52"/>
  <c r="D184" i="52"/>
  <c r="C167" i="52"/>
  <c r="D167" i="52"/>
  <c r="C169" i="52"/>
  <c r="D169" i="52"/>
  <c r="C171" i="52"/>
  <c r="D171" i="52"/>
  <c r="C177" i="52"/>
  <c r="D177" i="52"/>
  <c r="C183" i="52"/>
  <c r="D183" i="52"/>
  <c r="C138" i="52"/>
  <c r="C142" i="52"/>
  <c r="D142" i="52"/>
  <c r="C165" i="52"/>
  <c r="D165" i="52"/>
  <c r="C174" i="52"/>
  <c r="D174" i="52"/>
  <c r="C178" i="52"/>
  <c r="D178" i="52"/>
  <c r="C146" i="52"/>
  <c r="D146" i="52"/>
  <c r="C148" i="52"/>
  <c r="D148" i="52"/>
  <c r="C175" i="52"/>
  <c r="D175" i="52"/>
  <c r="C149" i="52"/>
  <c r="D149" i="52"/>
  <c r="C168" i="52"/>
  <c r="D168" i="52"/>
  <c r="C170" i="52"/>
  <c r="D170" i="52"/>
  <c r="C173" i="52"/>
  <c r="D173" i="52"/>
  <c r="C182" i="52"/>
  <c r="D182" i="52"/>
  <c r="H174" i="6"/>
  <c r="H160" i="6"/>
  <c r="G160" i="6"/>
  <c r="D224" i="8"/>
  <c r="P75" i="5"/>
  <c r="F22" i="5"/>
  <c r="P79" i="5"/>
  <c r="F26" i="5"/>
  <c r="P97" i="5"/>
  <c r="H18" i="5"/>
  <c r="P101" i="5"/>
  <c r="H22" i="5"/>
  <c r="J174" i="6"/>
  <c r="I90" i="11"/>
  <c r="J160" i="6"/>
  <c r="I174" i="6"/>
  <c r="I160" i="6"/>
  <c r="P173" i="6"/>
  <c r="G22" i="6"/>
  <c r="P171" i="6"/>
  <c r="G20" i="6"/>
  <c r="G174" i="6"/>
  <c r="P161" i="6"/>
  <c r="F24" i="6"/>
  <c r="V74" i="36"/>
  <c r="F32" i="20"/>
  <c r="C10" i="16"/>
  <c r="L254" i="6"/>
  <c r="K254" i="6"/>
  <c r="J254" i="6"/>
  <c r="E141" i="6"/>
  <c r="F3" i="25"/>
  <c r="G3" i="25"/>
  <c r="V15" i="25"/>
  <c r="T15" i="25"/>
  <c r="O174" i="6"/>
  <c r="O160" i="6"/>
  <c r="N174" i="6"/>
  <c r="N160" i="6"/>
  <c r="F174" i="6"/>
  <c r="F160" i="6"/>
  <c r="G137" i="9"/>
  <c r="E160" i="6"/>
  <c r="P175" i="6"/>
  <c r="G24" i="6"/>
  <c r="H24" i="6"/>
  <c r="P151" i="6"/>
  <c r="F14" i="6"/>
  <c r="O218" i="6"/>
  <c r="K232" i="6"/>
  <c r="K218" i="6"/>
  <c r="I218" i="6"/>
  <c r="P211" i="6"/>
  <c r="I16" i="6"/>
  <c r="F25" i="19"/>
  <c r="F38" i="19"/>
  <c r="D90" i="11"/>
  <c r="E176" i="6"/>
  <c r="E138" i="8"/>
  <c r="L251" i="6"/>
  <c r="I251" i="6"/>
  <c r="C251" i="6"/>
  <c r="M75" i="36"/>
  <c r="M79" i="36"/>
  <c r="M80" i="36"/>
  <c r="G6" i="26"/>
  <c r="H6" i="26"/>
  <c r="F31" i="20"/>
  <c r="L174" i="6"/>
  <c r="M252" i="6"/>
  <c r="L252" i="6"/>
  <c r="E252" i="6"/>
  <c r="H252" i="6"/>
  <c r="K252" i="6"/>
  <c r="J252" i="6"/>
  <c r="I252" i="6"/>
  <c r="F252" i="6"/>
  <c r="C252" i="6"/>
  <c r="D252" i="6"/>
  <c r="N252" i="6"/>
  <c r="G252" i="6"/>
  <c r="J251" i="6"/>
  <c r="F251" i="6"/>
  <c r="E251" i="6"/>
  <c r="G251" i="6"/>
  <c r="M251" i="6"/>
  <c r="N251" i="6"/>
  <c r="K251" i="6"/>
  <c r="H251" i="6"/>
  <c r="D251" i="6"/>
  <c r="L141" i="6"/>
  <c r="F141" i="6"/>
  <c r="E91" i="23"/>
  <c r="F91" i="23"/>
  <c r="G35" i="23"/>
  <c r="B222" i="6"/>
  <c r="B45" i="6"/>
  <c r="B64" i="6"/>
  <c r="B49" i="6"/>
  <c r="B212" i="6"/>
  <c r="B168" i="6"/>
  <c r="B79" i="6"/>
  <c r="B110" i="6"/>
  <c r="B226" i="6"/>
  <c r="B154" i="6"/>
  <c r="B96" i="6"/>
  <c r="B137" i="6"/>
  <c r="B195" i="6"/>
  <c r="B254" i="6"/>
  <c r="J102" i="6"/>
  <c r="D192" i="6"/>
  <c r="M192" i="6"/>
  <c r="C192" i="6"/>
  <c r="P98" i="6"/>
  <c r="C19" i="6"/>
  <c r="J135" i="6"/>
  <c r="D80" i="24"/>
  <c r="G192" i="6"/>
  <c r="N192" i="6"/>
  <c r="I192" i="6"/>
  <c r="I134" i="6"/>
  <c r="H85" i="52"/>
  <c r="G193" i="6"/>
  <c r="E193" i="6"/>
  <c r="L193" i="6"/>
  <c r="N193" i="6"/>
  <c r="M193" i="6"/>
  <c r="C193" i="6"/>
  <c r="H193" i="6"/>
  <c r="D193" i="6"/>
  <c r="K193" i="6"/>
  <c r="F193" i="6"/>
  <c r="J193" i="6"/>
  <c r="I193" i="6"/>
  <c r="C258" i="6"/>
  <c r="J258" i="6"/>
  <c r="K258" i="6"/>
  <c r="I258" i="6"/>
  <c r="N258" i="6"/>
  <c r="E258" i="6"/>
  <c r="F258" i="6"/>
  <c r="G258" i="6"/>
  <c r="L258" i="6"/>
  <c r="H258" i="6"/>
  <c r="M258" i="6"/>
  <c r="D258" i="6"/>
  <c r="D102" i="6"/>
  <c r="E126" i="11"/>
  <c r="B83" i="6"/>
  <c r="B158" i="6"/>
  <c r="B114" i="6"/>
  <c r="B172" i="6"/>
  <c r="B100" i="6"/>
  <c r="B141" i="6"/>
  <c r="B199" i="6"/>
  <c r="B258" i="6"/>
  <c r="B68" i="6"/>
  <c r="B53" i="6"/>
  <c r="B230" i="6"/>
  <c r="B216" i="6"/>
  <c r="F85" i="52"/>
  <c r="J192" i="6"/>
  <c r="H192" i="6"/>
  <c r="J32" i="19"/>
  <c r="H15" i="19"/>
  <c r="L59" i="11"/>
  <c r="J162" i="6"/>
  <c r="J137" i="8"/>
  <c r="H162" i="6"/>
  <c r="H137" i="8"/>
  <c r="I137" i="9"/>
  <c r="I138" i="9"/>
  <c r="F123" i="6"/>
  <c r="N120" i="6"/>
  <c r="N125" i="6"/>
  <c r="O53" i="9"/>
  <c r="O54" i="9"/>
  <c r="N123" i="6"/>
  <c r="N122" i="6"/>
  <c r="N121" i="6"/>
  <c r="O53" i="8"/>
  <c r="N124" i="6"/>
  <c r="K53" i="8"/>
  <c r="J121" i="6"/>
  <c r="K53" i="9"/>
  <c r="K54" i="9"/>
  <c r="J125" i="6"/>
  <c r="J124" i="6"/>
  <c r="J120" i="6"/>
  <c r="J122" i="6"/>
  <c r="J176" i="6"/>
  <c r="J138" i="8"/>
  <c r="G90" i="11"/>
  <c r="H176" i="6"/>
  <c r="H138" i="8"/>
  <c r="L53" i="8"/>
  <c r="K125" i="6"/>
  <c r="L53" i="9"/>
  <c r="K122" i="6"/>
  <c r="K124" i="6"/>
  <c r="K121" i="6"/>
  <c r="K120" i="6"/>
  <c r="B36" i="52"/>
  <c r="C35" i="52"/>
  <c r="J158" i="9"/>
  <c r="J159" i="9"/>
  <c r="I220" i="6"/>
  <c r="F137" i="9"/>
  <c r="F138" i="9"/>
  <c r="E162" i="6"/>
  <c r="O176" i="6"/>
  <c r="O138" i="8"/>
  <c r="N90" i="11"/>
  <c r="I176" i="6"/>
  <c r="I138" i="8"/>
  <c r="H90" i="11"/>
  <c r="B155" i="6"/>
  <c r="B50" i="6"/>
  <c r="B227" i="6"/>
  <c r="B213" i="6"/>
  <c r="B169" i="6"/>
  <c r="B97" i="6"/>
  <c r="B138" i="6"/>
  <c r="B196" i="6"/>
  <c r="B255" i="6"/>
  <c r="B65" i="6"/>
  <c r="B111" i="6"/>
  <c r="B80" i="6"/>
  <c r="M53" i="9"/>
  <c r="M53" i="8"/>
  <c r="L125" i="6"/>
  <c r="L121" i="6"/>
  <c r="L124" i="6"/>
  <c r="L120" i="6"/>
  <c r="L122" i="6"/>
  <c r="I53" i="9"/>
  <c r="I54" i="9"/>
  <c r="G74" i="11"/>
  <c r="I122" i="6"/>
  <c r="J53" i="9"/>
  <c r="I124" i="6"/>
  <c r="I125" i="6"/>
  <c r="I120" i="6"/>
  <c r="J53" i="8"/>
  <c r="I121" i="6"/>
  <c r="K234" i="6"/>
  <c r="K216" i="8"/>
  <c r="J126" i="11"/>
  <c r="I158" i="9"/>
  <c r="I159" i="9"/>
  <c r="H220" i="6"/>
  <c r="H215" i="8"/>
  <c r="O220" i="6"/>
  <c r="O215" i="8"/>
  <c r="P158" i="9"/>
  <c r="P159" i="9"/>
  <c r="N147" i="11"/>
  <c r="I162" i="6"/>
  <c r="I137" i="8"/>
  <c r="J137" i="9"/>
  <c r="J138" i="9"/>
  <c r="H137" i="9"/>
  <c r="H138" i="9"/>
  <c r="G162" i="6"/>
  <c r="O257" i="6"/>
  <c r="O120" i="6"/>
  <c r="P53" i="8"/>
  <c r="O125" i="6"/>
  <c r="P53" i="9"/>
  <c r="O124" i="6"/>
  <c r="O121" i="6"/>
  <c r="O122" i="6"/>
  <c r="E116" i="9"/>
  <c r="E117" i="9"/>
  <c r="D104" i="6"/>
  <c r="E57" i="8"/>
  <c r="L54" i="9"/>
  <c r="J74" i="11"/>
  <c r="I215" i="8"/>
  <c r="G137" i="8"/>
  <c r="P99" i="6"/>
  <c r="C20" i="6"/>
  <c r="P107" i="6"/>
  <c r="D14" i="6"/>
  <c r="P108" i="6"/>
  <c r="D15" i="6"/>
  <c r="P114" i="6"/>
  <c r="D21" i="6"/>
  <c r="H85" i="8"/>
  <c r="H86" i="8"/>
  <c r="G94" i="8"/>
  <c r="E56" i="5"/>
  <c r="P56" i="5"/>
  <c r="D29" i="5"/>
  <c r="C53" i="6"/>
  <c r="E40" i="5"/>
  <c r="F83" i="8"/>
  <c r="R83" i="8"/>
  <c r="E97" i="8"/>
  <c r="I102" i="8"/>
  <c r="R102" i="8"/>
  <c r="I78" i="8"/>
  <c r="I81" i="8"/>
  <c r="G68" i="11" s="1"/>
  <c r="G50" i="5"/>
  <c r="P50" i="5"/>
  <c r="D23" i="5"/>
  <c r="C50" i="6"/>
  <c r="H97" i="8"/>
  <c r="H101" i="8"/>
  <c r="G114" i="8"/>
  <c r="G116" i="8"/>
  <c r="E51" i="11"/>
  <c r="G79" i="8"/>
  <c r="E48" i="5"/>
  <c r="F95" i="8"/>
  <c r="D48" i="5"/>
  <c r="P48" i="5" s="1"/>
  <c r="D21" i="5" s="1"/>
  <c r="C49" i="6" s="1"/>
  <c r="E85" i="8"/>
  <c r="D60" i="5"/>
  <c r="E53" i="8"/>
  <c r="M81" i="8"/>
  <c r="K68" i="11" s="1"/>
  <c r="E116" i="8"/>
  <c r="C51" i="11"/>
  <c r="L116" i="8"/>
  <c r="J51" i="11"/>
  <c r="F116" i="8"/>
  <c r="D51" i="11"/>
  <c r="I166" i="8"/>
  <c r="I168" i="8"/>
  <c r="P101" i="8"/>
  <c r="M101" i="8"/>
  <c r="J101" i="8"/>
  <c r="H59" i="11"/>
  <c r="I101" i="8"/>
  <c r="N194" i="8"/>
  <c r="M87" i="11"/>
  <c r="M86" i="8"/>
  <c r="K58" i="11"/>
  <c r="R87" i="8"/>
  <c r="R99" i="8"/>
  <c r="F86" i="8"/>
  <c r="F88" i="8"/>
  <c r="R98" i="8"/>
  <c r="L86" i="8"/>
  <c r="J58" i="11"/>
  <c r="K101" i="8"/>
  <c r="K103" i="8"/>
  <c r="I86" i="8"/>
  <c r="R100" i="8"/>
  <c r="R77" i="8"/>
  <c r="P86" i="8"/>
  <c r="N58" i="11"/>
  <c r="O101" i="8"/>
  <c r="N86" i="8"/>
  <c r="N88" i="8"/>
  <c r="O166" i="8"/>
  <c r="O168" i="8"/>
  <c r="M166" i="8"/>
  <c r="E180" i="8"/>
  <c r="E182" i="8"/>
  <c r="O81" i="8"/>
  <c r="M68" i="11" s="1"/>
  <c r="L101" i="8"/>
  <c r="R96" i="8"/>
  <c r="R122" i="8"/>
  <c r="R93" i="8"/>
  <c r="Q167" i="8"/>
  <c r="H194" i="8"/>
  <c r="G87" i="11"/>
  <c r="L166" i="8"/>
  <c r="J166" i="8"/>
  <c r="I94" i="11"/>
  <c r="Q259" i="8"/>
  <c r="F166" i="8"/>
  <c r="F168" i="8"/>
  <c r="Q164" i="8"/>
  <c r="M88" i="8"/>
  <c r="H94" i="11"/>
  <c r="I59" i="11"/>
  <c r="P88" i="8"/>
  <c r="E94" i="11"/>
  <c r="R95" i="8"/>
  <c r="Q172" i="8"/>
  <c r="H180" i="8"/>
  <c r="G95" i="11"/>
  <c r="L194" i="8"/>
  <c r="K87" i="11"/>
  <c r="M180" i="8"/>
  <c r="M182" i="8"/>
  <c r="G166" i="8"/>
  <c r="F94" i="11"/>
  <c r="Q177" i="8"/>
  <c r="Q174" i="8"/>
  <c r="Q178" i="8"/>
  <c r="Q157" i="8"/>
  <c r="Q193" i="8"/>
  <c r="N180" i="8"/>
  <c r="D180" i="8"/>
  <c r="D182" i="8"/>
  <c r="D166" i="8"/>
  <c r="D168" i="8"/>
  <c r="E194" i="8"/>
  <c r="I194" i="8"/>
  <c r="H87" i="11"/>
  <c r="H161" i="8"/>
  <c r="G104" i="11" s="1"/>
  <c r="Q158" i="8"/>
  <c r="N271" i="8"/>
  <c r="Q146" i="8"/>
  <c r="C225" i="8"/>
  <c r="Q200" i="8"/>
  <c r="R92" i="8"/>
  <c r="H58" i="11"/>
  <c r="Q159" i="8"/>
  <c r="H166" i="8"/>
  <c r="J242" i="8"/>
  <c r="Q192" i="8"/>
  <c r="D242" i="8"/>
  <c r="Q170" i="8"/>
  <c r="K180" i="8"/>
  <c r="J95" i="11"/>
  <c r="I241" i="8"/>
  <c r="Q176" i="8"/>
  <c r="C150" i="8"/>
  <c r="N166" i="8"/>
  <c r="G194" i="8"/>
  <c r="F87" i="11"/>
  <c r="K166" i="8"/>
  <c r="C172" i="8"/>
  <c r="F194" i="8"/>
  <c r="E87" i="11"/>
  <c r="B191" i="8"/>
  <c r="C170" i="8"/>
  <c r="H270" i="8"/>
  <c r="O241" i="8"/>
  <c r="O244" i="8"/>
  <c r="M242" i="8"/>
  <c r="M244" i="8"/>
  <c r="L130" i="11"/>
  <c r="L242" i="8"/>
  <c r="F243" i="8"/>
  <c r="F101" i="8"/>
  <c r="Q173" i="8"/>
  <c r="D194" i="8"/>
  <c r="C87" i="11"/>
  <c r="C234" i="8"/>
  <c r="I58" i="11"/>
  <c r="B94" i="11"/>
  <c r="B130" i="11"/>
  <c r="J161" i="8"/>
  <c r="J94" i="11"/>
  <c r="K168" i="8"/>
  <c r="H168" i="8"/>
  <c r="G94" i="11"/>
  <c r="N182" i="8"/>
  <c r="M95" i="11"/>
  <c r="L95" i="11"/>
  <c r="K182" i="8"/>
  <c r="C95" i="11"/>
  <c r="G168" i="8"/>
  <c r="C94" i="11"/>
  <c r="G19" i="19"/>
  <c r="H19" i="19"/>
  <c r="L19" i="19"/>
  <c r="L33" i="19"/>
  <c r="G33" i="19"/>
  <c r="L16" i="19"/>
  <c r="J16" i="19"/>
  <c r="G16" i="19"/>
  <c r="J22" i="19"/>
  <c r="L15" i="19"/>
  <c r="J23" i="19"/>
  <c r="J19" i="19"/>
  <c r="F123" i="9"/>
  <c r="C144" i="9"/>
  <c r="G123" i="9"/>
  <c r="E123" i="9"/>
  <c r="E121" i="9"/>
  <c r="C142" i="9"/>
  <c r="C163" i="8"/>
  <c r="C241" i="8"/>
  <c r="C143" i="9"/>
  <c r="F122" i="9"/>
  <c r="E122" i="9"/>
  <c r="D78" i="9"/>
  <c r="D98" i="9"/>
  <c r="E58" i="9"/>
  <c r="W110" i="23"/>
  <c r="Z110" i="23"/>
  <c r="D218" i="6"/>
  <c r="E158" i="9"/>
  <c r="E159" i="9"/>
  <c r="C147" i="11"/>
  <c r="J239" i="8"/>
  <c r="I140" i="11" s="1"/>
  <c r="C164" i="9"/>
  <c r="C165" i="9"/>
  <c r="J54" i="9"/>
  <c r="H74" i="11"/>
  <c r="AN110" i="23"/>
  <c r="AO110" i="23"/>
  <c r="AR110" i="23"/>
  <c r="AN101" i="23"/>
  <c r="AN102" i="23"/>
  <c r="AN100" i="23"/>
  <c r="H135" i="6"/>
  <c r="F135" i="6"/>
  <c r="N135" i="6"/>
  <c r="G135" i="6"/>
  <c r="L135" i="6"/>
  <c r="C135" i="6"/>
  <c r="E135" i="6"/>
  <c r="D135" i="6"/>
  <c r="M135" i="6"/>
  <c r="K134" i="6"/>
  <c r="G134" i="6"/>
  <c r="F162" i="6"/>
  <c r="F137" i="8"/>
  <c r="J104" i="6"/>
  <c r="K57" i="8"/>
  <c r="K116" i="9"/>
  <c r="K117" i="9"/>
  <c r="C14" i="10"/>
  <c r="C12" i="16"/>
  <c r="D12" i="16"/>
  <c r="H182" i="8"/>
  <c r="I88" i="8"/>
  <c r="G58" i="11"/>
  <c r="N59" i="11"/>
  <c r="P103" i="8"/>
  <c r="N176" i="6"/>
  <c r="N138" i="8"/>
  <c r="M90" i="11"/>
  <c r="G24" i="19"/>
  <c r="N220" i="6"/>
  <c r="N215" i="8"/>
  <c r="O158" i="9"/>
  <c r="F102" i="6"/>
  <c r="B36" i="23"/>
  <c r="AG35" i="23"/>
  <c r="P111" i="6"/>
  <c r="D18" i="6"/>
  <c r="B52" i="6"/>
  <c r="B171" i="6"/>
  <c r="B67" i="6"/>
  <c r="B113" i="6"/>
  <c r="B229" i="6"/>
  <c r="B157" i="6"/>
  <c r="B82" i="6"/>
  <c r="C171" i="8"/>
  <c r="C249" i="8"/>
  <c r="C157" i="8"/>
  <c r="C235" i="8"/>
  <c r="B223" i="8"/>
  <c r="B145" i="8"/>
  <c r="E144" i="52"/>
  <c r="F144" i="52"/>
  <c r="E140" i="52"/>
  <c r="F140" i="52"/>
  <c r="E153" i="52"/>
  <c r="F153" i="52"/>
  <c r="E168" i="52"/>
  <c r="F168" i="52"/>
  <c r="E183" i="52"/>
  <c r="F183" i="52"/>
  <c r="E184" i="52"/>
  <c r="F184" i="52"/>
  <c r="E175" i="52"/>
  <c r="F175" i="52"/>
  <c r="E160" i="52"/>
  <c r="F160" i="52"/>
  <c r="E154" i="52"/>
  <c r="F154" i="52"/>
  <c r="E147" i="52"/>
  <c r="F147" i="52"/>
  <c r="E158" i="52"/>
  <c r="F158" i="52"/>
  <c r="E174" i="52"/>
  <c r="F174" i="52"/>
  <c r="E162" i="52"/>
  <c r="F162" i="52"/>
  <c r="D17" i="52"/>
  <c r="F138" i="52"/>
  <c r="E150" i="52"/>
  <c r="F150" i="52"/>
  <c r="E165" i="52"/>
  <c r="F165" i="52"/>
  <c r="E178" i="52"/>
  <c r="F178" i="52"/>
  <c r="E181" i="52"/>
  <c r="F181" i="52"/>
  <c r="E176" i="52"/>
  <c r="F176" i="52"/>
  <c r="E163" i="52"/>
  <c r="F163" i="52"/>
  <c r="E155" i="52"/>
  <c r="F155" i="52"/>
  <c r="E149" i="52"/>
  <c r="F149" i="52"/>
  <c r="E180" i="52"/>
  <c r="F180" i="52"/>
  <c r="E141" i="52"/>
  <c r="F141" i="52"/>
  <c r="E169" i="52"/>
  <c r="F169" i="52"/>
  <c r="E164" i="52"/>
  <c r="F164" i="52"/>
  <c r="E167" i="52"/>
  <c r="F167" i="52"/>
  <c r="E179" i="52"/>
  <c r="F179" i="52"/>
  <c r="E172" i="52"/>
  <c r="F172" i="52"/>
  <c r="E159" i="52"/>
  <c r="F159" i="52"/>
  <c r="E152" i="52"/>
  <c r="F152" i="52"/>
  <c r="E142" i="52"/>
  <c r="F142" i="52"/>
  <c r="E157" i="52"/>
  <c r="F157" i="52"/>
  <c r="E173" i="52"/>
  <c r="F173" i="52"/>
  <c r="E148" i="52"/>
  <c r="F148" i="52"/>
  <c r="E151" i="52"/>
  <c r="F151" i="52"/>
  <c r="E146" i="52"/>
  <c r="F146" i="52"/>
  <c r="E166" i="52"/>
  <c r="F166" i="52"/>
  <c r="E156" i="52"/>
  <c r="F156" i="52"/>
  <c r="E170" i="52"/>
  <c r="F170" i="52"/>
  <c r="E182" i="52"/>
  <c r="F182" i="52"/>
  <c r="E177" i="52"/>
  <c r="F177" i="52"/>
  <c r="E139" i="52"/>
  <c r="F139" i="52"/>
  <c r="I120" i="24"/>
  <c r="D18" i="52"/>
  <c r="AS147" i="23"/>
  <c r="AR149" i="23"/>
  <c r="AM152" i="23"/>
  <c r="AN156" i="23"/>
  <c r="AM159" i="23"/>
  <c r="AM162" i="23"/>
  <c r="AP164" i="23"/>
  <c r="AM167" i="23"/>
  <c r="AM170" i="23"/>
  <c r="AM174" i="23"/>
  <c r="AM177" i="23"/>
  <c r="AN179" i="23"/>
  <c r="AS182" i="23"/>
  <c r="AN184" i="23"/>
  <c r="AN185" i="23"/>
  <c r="AS185" i="23"/>
  <c r="AP186" i="23"/>
  <c r="AP187" i="23"/>
  <c r="AR188" i="23"/>
  <c r="AM189" i="23"/>
  <c r="AR189" i="23"/>
  <c r="AN190" i="23"/>
  <c r="AR192" i="23"/>
  <c r="AN192" i="23"/>
  <c r="AN193" i="23"/>
  <c r="AS146" i="23"/>
  <c r="AP147" i="23"/>
  <c r="AP148" i="23"/>
  <c r="AR148" i="23"/>
  <c r="AN149" i="23"/>
  <c r="AN150" i="23"/>
  <c r="AR151" i="23"/>
  <c r="AP152" i="23"/>
  <c r="AN153" i="23"/>
  <c r="AS154" i="23"/>
  <c r="AM154" i="23"/>
  <c r="AM155" i="23"/>
  <c r="AM156" i="23"/>
  <c r="AN157" i="23"/>
  <c r="AR158" i="23"/>
  <c r="AP159" i="23"/>
  <c r="AM160" i="23"/>
  <c r="AR160" i="23"/>
  <c r="AR161" i="23"/>
  <c r="AN161" i="23"/>
  <c r="AR162" i="23"/>
  <c r="AP163" i="23"/>
  <c r="AN164" i="23"/>
  <c r="AS165" i="23"/>
  <c r="AP166" i="23"/>
  <c r="AN167" i="23"/>
  <c r="AM168" i="23"/>
  <c r="AP169" i="23"/>
  <c r="AR170" i="23"/>
  <c r="AM171" i="23"/>
  <c r="AR172" i="23"/>
  <c r="AR173" i="23"/>
  <c r="AS173" i="23"/>
  <c r="AN174" i="23"/>
  <c r="AR175" i="23"/>
  <c r="AN176" i="23"/>
  <c r="AP176" i="23"/>
  <c r="AP177" i="23"/>
  <c r="AS178" i="23"/>
  <c r="AM179" i="23"/>
  <c r="AN180" i="23"/>
  <c r="AP181" i="23"/>
  <c r="AR182" i="23"/>
  <c r="AS183" i="23"/>
  <c r="AM183" i="23"/>
  <c r="AP184" i="23"/>
  <c r="AM185" i="23"/>
  <c r="AR185" i="23"/>
  <c r="AR186" i="23"/>
  <c r="AN187" i="23"/>
  <c r="AN188" i="23"/>
  <c r="AP189" i="23"/>
  <c r="AP190" i="23"/>
  <c r="AR191" i="23"/>
  <c r="AM192" i="23"/>
  <c r="AM193" i="23"/>
  <c r="AM146" i="23"/>
  <c r="AR147" i="23"/>
  <c r="AN148" i="23"/>
  <c r="AP149" i="23"/>
  <c r="AM150" i="23"/>
  <c r="AS150" i="23"/>
  <c r="AM151" i="23"/>
  <c r="AP151" i="23"/>
  <c r="AS152" i="23"/>
  <c r="AM153" i="23"/>
  <c r="AR153" i="23"/>
  <c r="AN154" i="23"/>
  <c r="AP155" i="23"/>
  <c r="AR156" i="23"/>
  <c r="AS156" i="23"/>
  <c r="AR157" i="23"/>
  <c r="AP157" i="23"/>
  <c r="AS158" i="23"/>
  <c r="AS159" i="23"/>
  <c r="AN160" i="23"/>
  <c r="AS161" i="23"/>
  <c r="AN162" i="23"/>
  <c r="AR163" i="23"/>
  <c r="AN163" i="23"/>
  <c r="AS164" i="23"/>
  <c r="AN165" i="23"/>
  <c r="AS166" i="23"/>
  <c r="AS167" i="23"/>
  <c r="AP167" i="23"/>
  <c r="AP168" i="23"/>
  <c r="AR169" i="23"/>
  <c r="AN169" i="23"/>
  <c r="AN170" i="23"/>
  <c r="AP170" i="23"/>
  <c r="AP171" i="23"/>
  <c r="AR171" i="23"/>
  <c r="AP172" i="23"/>
  <c r="AN172" i="23"/>
  <c r="AN173" i="23"/>
  <c r="AR174" i="23"/>
  <c r="AM175" i="23"/>
  <c r="AS176" i="23"/>
  <c r="AR177" i="23"/>
  <c r="AM178" i="23"/>
  <c r="AN178" i="23"/>
  <c r="AP179" i="23"/>
  <c r="AP180" i="23"/>
  <c r="AN181" i="23"/>
  <c r="AM182" i="23"/>
  <c r="AR183" i="23"/>
  <c r="AM184" i="23"/>
  <c r="AS184" i="23"/>
  <c r="AP185" i="23"/>
  <c r="AN186" i="23"/>
  <c r="AS187" i="23"/>
  <c r="AR187" i="23"/>
  <c r="AM188" i="23"/>
  <c r="AN189" i="23"/>
  <c r="AQ189" i="23"/>
  <c r="AM190" i="23"/>
  <c r="AS191" i="23"/>
  <c r="AP192" i="23"/>
  <c r="AR193" i="23"/>
  <c r="AR146" i="23"/>
  <c r="AN147" i="23"/>
  <c r="AP150" i="23"/>
  <c r="AS151" i="23"/>
  <c r="AN152" i="23"/>
  <c r="AP153" i="23"/>
  <c r="AR155" i="23"/>
  <c r="AN158" i="23"/>
  <c r="AN159" i="23"/>
  <c r="AM164" i="23"/>
  <c r="AR165" i="23"/>
  <c r="AN183" i="23"/>
  <c r="AM187" i="23"/>
  <c r="AS189" i="23"/>
  <c r="AS194" i="23"/>
  <c r="AS195" i="23"/>
  <c r="AM196" i="23"/>
  <c r="AP197" i="23"/>
  <c r="AN198" i="23"/>
  <c r="AO198" i="23"/>
  <c r="AM199" i="23"/>
  <c r="AN200" i="23"/>
  <c r="AR201" i="23"/>
  <c r="AP202" i="23"/>
  <c r="AP203" i="23"/>
  <c r="AS203" i="23"/>
  <c r="AM204" i="23"/>
  <c r="AP204" i="23"/>
  <c r="AR205" i="23"/>
  <c r="AS205" i="23"/>
  <c r="AR206" i="23"/>
  <c r="AP206" i="23"/>
  <c r="AR207" i="23"/>
  <c r="AN207" i="23"/>
  <c r="AM208" i="23"/>
  <c r="AM209" i="23"/>
  <c r="AM210" i="23"/>
  <c r="AN211" i="23"/>
  <c r="AP211" i="23"/>
  <c r="AN213" i="23"/>
  <c r="AS213" i="23"/>
  <c r="AS214" i="23"/>
  <c r="AR215" i="23"/>
  <c r="AP215" i="23"/>
  <c r="AS216" i="23"/>
  <c r="AM216" i="23"/>
  <c r="AM217" i="23"/>
  <c r="AN217" i="23"/>
  <c r="AO217" i="23"/>
  <c r="AS218" i="23"/>
  <c r="AP219" i="23"/>
  <c r="AP220" i="23"/>
  <c r="AN221" i="23"/>
  <c r="AM222" i="23"/>
  <c r="AP222" i="23"/>
  <c r="AR223" i="23"/>
  <c r="AM223" i="23"/>
  <c r="AM224" i="23"/>
  <c r="AS225" i="23"/>
  <c r="AR226" i="23"/>
  <c r="AM226" i="23"/>
  <c r="AM227" i="23"/>
  <c r="AN228" i="23"/>
  <c r="AP229" i="23"/>
  <c r="AP146" i="23"/>
  <c r="AS149" i="23"/>
  <c r="AP156" i="23"/>
  <c r="AM157" i="23"/>
  <c r="AP160" i="23"/>
  <c r="AM161" i="23"/>
  <c r="AM165" i="23"/>
  <c r="AM173" i="23"/>
  <c r="AP175" i="23"/>
  <c r="AM176" i="23"/>
  <c r="AS180" i="23"/>
  <c r="AS181" i="23"/>
  <c r="AS186" i="23"/>
  <c r="AP188" i="23"/>
  <c r="AS192" i="23"/>
  <c r="AM194" i="23"/>
  <c r="AR195" i="23"/>
  <c r="AP196" i="23"/>
  <c r="AN197" i="23"/>
  <c r="AM197" i="23"/>
  <c r="AM198" i="23"/>
  <c r="AP199" i="23"/>
  <c r="AN199" i="23"/>
  <c r="AR200" i="23"/>
  <c r="AP201" i="23"/>
  <c r="AR202" i="23"/>
  <c r="AM203" i="23"/>
  <c r="AS204" i="23"/>
  <c r="AP205" i="23"/>
  <c r="AN206" i="23"/>
  <c r="AP207" i="23"/>
  <c r="AP208" i="23"/>
  <c r="AR209" i="23"/>
  <c r="AS209" i="23"/>
  <c r="AR210" i="23"/>
  <c r="AP210" i="23"/>
  <c r="AM211" i="23"/>
  <c r="AP212" i="23"/>
  <c r="AR212" i="23"/>
  <c r="AR213" i="23"/>
  <c r="AN214" i="23"/>
  <c r="AS215" i="23"/>
  <c r="AR216" i="23"/>
  <c r="AR217" i="23"/>
  <c r="AR218" i="23"/>
  <c r="AR219" i="23"/>
  <c r="AN219" i="23"/>
  <c r="AQ219" i="23"/>
  <c r="AM220" i="23"/>
  <c r="AS221" i="23"/>
  <c r="AS222" i="23"/>
  <c r="AS223" i="23"/>
  <c r="AR224" i="23"/>
  <c r="AN225" i="23"/>
  <c r="AP226" i="23"/>
  <c r="AR227" i="23"/>
  <c r="AR228" i="23"/>
  <c r="AM229" i="23"/>
  <c r="AS148" i="23"/>
  <c r="AR154" i="23"/>
  <c r="AN155" i="23"/>
  <c r="AP162" i="23"/>
  <c r="AM163" i="23"/>
  <c r="AS168" i="23"/>
  <c r="AS169" i="23"/>
  <c r="AS170" i="23"/>
  <c r="AS171" i="23"/>
  <c r="AM172" i="23"/>
  <c r="AP174" i="23"/>
  <c r="AS177" i="23"/>
  <c r="AS179" i="23"/>
  <c r="AN182" i="23"/>
  <c r="AR184" i="23"/>
  <c r="AS190" i="23"/>
  <c r="AN191" i="23"/>
  <c r="AP193" i="23"/>
  <c r="AN194" i="23"/>
  <c r="AP194" i="23"/>
  <c r="AN195" i="23"/>
  <c r="AM195" i="23"/>
  <c r="AR196" i="23"/>
  <c r="AS197" i="23"/>
  <c r="AS198" i="23"/>
  <c r="AP198" i="23"/>
  <c r="AQ198" i="23"/>
  <c r="AR199" i="23"/>
  <c r="AM200" i="23"/>
  <c r="AM201" i="23"/>
  <c r="AN201" i="23"/>
  <c r="AS202" i="23"/>
  <c r="AN203" i="23"/>
  <c r="AO203" i="23"/>
  <c r="AN204" i="23"/>
  <c r="AN205" i="23"/>
  <c r="AO205" i="23"/>
  <c r="AM206" i="23"/>
  <c r="AS207" i="23"/>
  <c r="AR208" i="23"/>
  <c r="AS208" i="23"/>
  <c r="AP209" i="23"/>
  <c r="AS210" i="23"/>
  <c r="AS211" i="23"/>
  <c r="AM212" i="23"/>
  <c r="AN212" i="23"/>
  <c r="AM213" i="23"/>
  <c r="AM214" i="23"/>
  <c r="AR214" i="23"/>
  <c r="AN215" i="23"/>
  <c r="AN216" i="23"/>
  <c r="AS217" i="23"/>
  <c r="AN218" i="23"/>
  <c r="AP218" i="23"/>
  <c r="AQ218" i="23" s="1"/>
  <c r="AM219" i="23"/>
  <c r="AN220" i="23"/>
  <c r="AR221" i="23"/>
  <c r="AP221" i="23"/>
  <c r="AN222" i="23"/>
  <c r="AP223" i="23"/>
  <c r="AP224" i="23"/>
  <c r="AP225" i="23"/>
  <c r="AQ225" i="23"/>
  <c r="AM225" i="23"/>
  <c r="AS226" i="23"/>
  <c r="AN227" i="23"/>
  <c r="AS227" i="23"/>
  <c r="AM228" i="23"/>
  <c r="AN229" i="23"/>
  <c r="AO229" i="23"/>
  <c r="N253" i="8"/>
  <c r="Q175" i="8"/>
  <c r="I249" i="8"/>
  <c r="Q171" i="8"/>
  <c r="J15" i="19"/>
  <c r="I25" i="19"/>
  <c r="I38" i="19"/>
  <c r="D241" i="8"/>
  <c r="D244" i="8"/>
  <c r="Q163" i="8"/>
  <c r="K116" i="6"/>
  <c r="F85" i="5"/>
  <c r="P71" i="5"/>
  <c r="F18" i="5"/>
  <c r="P83" i="5"/>
  <c r="F30" i="5"/>
  <c r="D85" i="5"/>
  <c r="M111" i="5"/>
  <c r="J111" i="5"/>
  <c r="H111" i="5"/>
  <c r="P99" i="5"/>
  <c r="H20" i="5"/>
  <c r="D111" i="5"/>
  <c r="P108" i="5"/>
  <c r="H29" i="5"/>
  <c r="C83" i="6"/>
  <c r="C25" i="19"/>
  <c r="E198" i="6"/>
  <c r="L198" i="6"/>
  <c r="G198" i="6"/>
  <c r="N198" i="6"/>
  <c r="F198" i="6"/>
  <c r="P59" i="5"/>
  <c r="D32" i="5"/>
  <c r="K38" i="19"/>
  <c r="B99" i="6"/>
  <c r="B140" i="6"/>
  <c r="B198" i="6"/>
  <c r="B257" i="6"/>
  <c r="B215" i="6"/>
  <c r="E145" i="52"/>
  <c r="F145" i="52"/>
  <c r="O116" i="6"/>
  <c r="P96" i="6"/>
  <c r="C17" i="6"/>
  <c r="P113" i="6"/>
  <c r="D20" i="6"/>
  <c r="E20" i="6"/>
  <c r="P115" i="6"/>
  <c r="D22" i="6"/>
  <c r="C243" i="26"/>
  <c r="C88" i="24"/>
  <c r="C80" i="20"/>
  <c r="B210" i="26"/>
  <c r="B30" i="5"/>
  <c r="B57" i="5"/>
  <c r="B83" i="5"/>
  <c r="B109" i="5"/>
  <c r="B22" i="6"/>
  <c r="B192" i="26"/>
  <c r="B24" i="5"/>
  <c r="B51" i="5"/>
  <c r="B77" i="5"/>
  <c r="B103" i="5"/>
  <c r="K235" i="8"/>
  <c r="AG210" i="23"/>
  <c r="AD205" i="23"/>
  <c r="AI201" i="23"/>
  <c r="AI197" i="23"/>
  <c r="AE189" i="23"/>
  <c r="AJ176" i="23"/>
  <c r="AI158" i="23"/>
  <c r="P82" i="5"/>
  <c r="F29" i="5"/>
  <c r="C68" i="6"/>
  <c r="N244" i="8"/>
  <c r="P226" i="6"/>
  <c r="J17" i="6"/>
  <c r="P98" i="5"/>
  <c r="H19" i="5"/>
  <c r="C78" i="6"/>
  <c r="F50" i="84"/>
  <c r="D36" i="84"/>
  <c r="S14" i="25"/>
  <c r="U14" i="25"/>
  <c r="V14" i="25"/>
  <c r="T14" i="25"/>
  <c r="P102" i="5"/>
  <c r="H23" i="5"/>
  <c r="C80" i="6"/>
  <c r="M174" i="6"/>
  <c r="AJ147" i="23"/>
  <c r="AJ152" i="23"/>
  <c r="AD156" i="23"/>
  <c r="AG160" i="23"/>
  <c r="AD164" i="23"/>
  <c r="AG168" i="23"/>
  <c r="AD172" i="23"/>
  <c r="AD175" i="23"/>
  <c r="AJ181" i="23"/>
  <c r="AG184" i="23"/>
  <c r="AI188" i="23"/>
  <c r="AI194" i="23"/>
  <c r="AD149" i="23"/>
  <c r="AG151" i="23"/>
  <c r="AJ155" i="23"/>
  <c r="AE158" i="23"/>
  <c r="AF158" i="23"/>
  <c r="AG161" i="23"/>
  <c r="AE164" i="23"/>
  <c r="AF164" i="23"/>
  <c r="AJ167" i="23"/>
  <c r="AJ170" i="23"/>
  <c r="AJ172" i="23"/>
  <c r="AI174" i="23"/>
  <c r="AE178" i="23"/>
  <c r="AF178" i="23"/>
  <c r="AE180" i="23"/>
  <c r="AG182" i="23"/>
  <c r="AD185" i="23"/>
  <c r="AE191" i="23"/>
  <c r="AF191" i="23"/>
  <c r="AJ194" i="23"/>
  <c r="AE149" i="23"/>
  <c r="AI153" i="23"/>
  <c r="AJ156" i="23"/>
  <c r="AJ160" i="23"/>
  <c r="AG163" i="23"/>
  <c r="AG167" i="23"/>
  <c r="AD170" i="23"/>
  <c r="AE174" i="23"/>
  <c r="AE177" i="23"/>
  <c r="AD181" i="23"/>
  <c r="AE184" i="23"/>
  <c r="AD188" i="23"/>
  <c r="AG192" i="23"/>
  <c r="AE194" i="23"/>
  <c r="B239" i="6"/>
  <c r="B123" i="6"/>
  <c r="P80" i="5"/>
  <c r="F27" i="5"/>
  <c r="C67" i="6"/>
  <c r="P72" i="5"/>
  <c r="F19" i="5"/>
  <c r="C63" i="6"/>
  <c r="P170" i="6"/>
  <c r="G19" i="6"/>
  <c r="P167" i="6"/>
  <c r="G16" i="6"/>
  <c r="H16" i="6"/>
  <c r="P116" i="8"/>
  <c r="N51" i="11"/>
  <c r="F137" i="52"/>
  <c r="D84" i="52"/>
  <c r="AE91" i="23"/>
  <c r="AE102" i="23"/>
  <c r="AW97" i="23"/>
  <c r="AY138" i="23"/>
  <c r="D97" i="23"/>
  <c r="C172" i="23"/>
  <c r="D100" i="23"/>
  <c r="D101" i="23"/>
  <c r="G29" i="19"/>
  <c r="H29" i="19"/>
  <c r="O86" i="8"/>
  <c r="O88" i="8"/>
  <c r="I272" i="8"/>
  <c r="H123" i="11"/>
  <c r="D74" i="36"/>
  <c r="P34" i="23"/>
  <c r="H116" i="8"/>
  <c r="I244" i="8"/>
  <c r="I54" i="84"/>
  <c r="I55" i="84"/>
  <c r="I56" i="84"/>
  <c r="O246" i="8"/>
  <c r="N130" i="11"/>
  <c r="D87" i="11"/>
  <c r="L103" i="8"/>
  <c r="J59" i="11"/>
  <c r="E86" i="8"/>
  <c r="R85" i="8"/>
  <c r="E118" i="9"/>
  <c r="C75" i="11"/>
  <c r="P54" i="9"/>
  <c r="K220" i="6"/>
  <c r="L158" i="9"/>
  <c r="E138" i="9"/>
  <c r="E139" i="9"/>
  <c r="H16" i="19"/>
  <c r="N272" i="8"/>
  <c r="M123" i="11"/>
  <c r="F139" i="9"/>
  <c r="D111" i="11"/>
  <c r="D36" i="52"/>
  <c r="B37" i="52"/>
  <c r="C36" i="52"/>
  <c r="F176" i="6"/>
  <c r="E90" i="11"/>
  <c r="P137" i="9"/>
  <c r="O162" i="6"/>
  <c r="D10" i="16"/>
  <c r="V88" i="36"/>
  <c r="V91" i="36"/>
  <c r="V95" i="36"/>
  <c r="X89" i="36"/>
  <c r="AA91" i="36"/>
  <c r="X94" i="36"/>
  <c r="U88" i="36"/>
  <c r="U91" i="36"/>
  <c r="V94" i="36"/>
  <c r="U92" i="36"/>
  <c r="Z86" i="36"/>
  <c r="Z90" i="36"/>
  <c r="V87" i="36"/>
  <c r="V86" i="36"/>
  <c r="U90" i="36"/>
  <c r="AA94" i="36"/>
  <c r="AA88" i="36"/>
  <c r="V90" i="36"/>
  <c r="X93" i="36"/>
  <c r="U96" i="36"/>
  <c r="Z91" i="36"/>
  <c r="AA93" i="36"/>
  <c r="Z88" i="36"/>
  <c r="X87" i="36"/>
  <c r="Z89" i="36"/>
  <c r="AA87" i="36"/>
  <c r="U87" i="36"/>
  <c r="X88" i="36"/>
  <c r="X92" i="36"/>
  <c r="AA95" i="36"/>
  <c r="U89" i="36"/>
  <c r="V92" i="36"/>
  <c r="X95" i="36"/>
  <c r="AA89" i="36"/>
  <c r="Z92" i="36"/>
  <c r="Z94" i="36"/>
  <c r="U94" i="36"/>
  <c r="X86" i="36"/>
  <c r="AA92" i="36"/>
  <c r="X96" i="36"/>
  <c r="X91" i="36"/>
  <c r="AA96" i="36"/>
  <c r="X90" i="36"/>
  <c r="Z87" i="36"/>
  <c r="U93" i="36"/>
  <c r="Z95" i="36"/>
  <c r="U86" i="36"/>
  <c r="U95" i="36"/>
  <c r="V89" i="36"/>
  <c r="Z93" i="36"/>
  <c r="Z96" i="36"/>
  <c r="AA86" i="36"/>
  <c r="D85" i="52"/>
  <c r="C85" i="52"/>
  <c r="D138" i="52"/>
  <c r="J33" i="19"/>
  <c r="H33" i="19"/>
  <c r="L244" i="8"/>
  <c r="L246" i="8"/>
  <c r="N168" i="8"/>
  <c r="M94" i="11"/>
  <c r="D125" i="6"/>
  <c r="D124" i="6"/>
  <c r="E53" i="9"/>
  <c r="D122" i="6"/>
  <c r="D120" i="6"/>
  <c r="P40" i="5"/>
  <c r="D13" i="5"/>
  <c r="C45" i="6"/>
  <c r="E60" i="5"/>
  <c r="F53" i="8"/>
  <c r="H234" i="6"/>
  <c r="G126" i="11"/>
  <c r="M246" i="8"/>
  <c r="V96" i="36"/>
  <c r="E137" i="8"/>
  <c r="H120" i="6"/>
  <c r="H121" i="6"/>
  <c r="I53" i="8"/>
  <c r="H122" i="6"/>
  <c r="H124" i="6"/>
  <c r="H123" i="6"/>
  <c r="E134" i="6"/>
  <c r="D134" i="6"/>
  <c r="C134" i="6"/>
  <c r="M134" i="6"/>
  <c r="J134" i="6"/>
  <c r="F134" i="6"/>
  <c r="L134" i="6"/>
  <c r="N134" i="6"/>
  <c r="H134" i="6"/>
  <c r="P97" i="6"/>
  <c r="C18" i="6"/>
  <c r="E18" i="6"/>
  <c r="K102" i="6"/>
  <c r="T36" i="23"/>
  <c r="AO204" i="23"/>
  <c r="AQ204" i="23"/>
  <c r="G60" i="5"/>
  <c r="I55" i="9"/>
  <c r="O193" i="6"/>
  <c r="F18" i="20"/>
  <c r="K137" i="9"/>
  <c r="M234" i="6"/>
  <c r="L126" i="11"/>
  <c r="AQ229" i="23"/>
  <c r="O258" i="6"/>
  <c r="J148" i="8"/>
  <c r="G176" i="6"/>
  <c r="F90" i="11"/>
  <c r="G17" i="19"/>
  <c r="H17" i="19"/>
  <c r="J17" i="19"/>
  <c r="L17" i="19"/>
  <c r="I216" i="8"/>
  <c r="D138" i="8"/>
  <c r="AO219" i="23"/>
  <c r="O252" i="6"/>
  <c r="M123" i="6"/>
  <c r="M125" i="6"/>
  <c r="M122" i="6"/>
  <c r="N53" i="8"/>
  <c r="M120" i="6"/>
  <c r="M121" i="6"/>
  <c r="N53" i="9"/>
  <c r="O87" i="20"/>
  <c r="F59" i="20"/>
  <c r="AE110" i="23"/>
  <c r="AE100" i="23"/>
  <c r="AE101" i="23"/>
  <c r="BB150" i="23"/>
  <c r="AV163" i="23"/>
  <c r="BB177" i="23"/>
  <c r="AW116" i="23"/>
  <c r="AW142" i="23"/>
  <c r="BB156" i="23"/>
  <c r="AW179" i="23"/>
  <c r="AV193" i="23"/>
  <c r="AW121" i="23"/>
  <c r="AW159" i="23"/>
  <c r="AW171" i="23"/>
  <c r="AY182" i="23"/>
  <c r="BA113" i="23"/>
  <c r="AV143" i="23"/>
  <c r="BB154" i="23"/>
  <c r="AV171" i="23"/>
  <c r="AY181" i="23"/>
  <c r="BB184" i="23"/>
  <c r="BA195" i="23"/>
  <c r="AY205" i="23"/>
  <c r="AY209" i="23"/>
  <c r="BB225" i="23"/>
  <c r="AW124" i="23"/>
  <c r="AW117" i="23"/>
  <c r="AV209" i="23"/>
  <c r="BA220" i="23"/>
  <c r="BB223" i="23"/>
  <c r="AY127" i="23"/>
  <c r="AV124" i="23"/>
  <c r="AW132" i="23"/>
  <c r="AV214" i="23"/>
  <c r="AY223" i="23"/>
  <c r="BB226" i="23"/>
  <c r="BB117" i="23"/>
  <c r="C221" i="23"/>
  <c r="C187" i="23"/>
  <c r="I173" i="23"/>
  <c r="F175" i="23"/>
  <c r="I218" i="23"/>
  <c r="R185" i="23"/>
  <c r="R198" i="23"/>
  <c r="R207" i="23"/>
  <c r="R216" i="23"/>
  <c r="R221" i="23"/>
  <c r="R222" i="23"/>
  <c r="R228" i="23"/>
  <c r="F209" i="23"/>
  <c r="I178" i="23"/>
  <c r="F182" i="23"/>
  <c r="H186" i="23"/>
  <c r="I190" i="23"/>
  <c r="R183" i="23"/>
  <c r="R192" i="23"/>
  <c r="R200" i="23"/>
  <c r="R203" i="23"/>
  <c r="R210" i="23"/>
  <c r="R213" i="23"/>
  <c r="R218" i="23"/>
  <c r="R220" i="23"/>
  <c r="R226" i="23"/>
  <c r="C215" i="23"/>
  <c r="C201" i="23"/>
  <c r="H226" i="23"/>
  <c r="C178" i="23"/>
  <c r="H195" i="23"/>
  <c r="F205" i="23"/>
  <c r="R195" i="23"/>
  <c r="R197" i="23"/>
  <c r="R202" i="23"/>
  <c r="R209" i="23"/>
  <c r="R219" i="23"/>
  <c r="C209" i="23"/>
  <c r="H217" i="23"/>
  <c r="F220" i="23"/>
  <c r="C224" i="23"/>
  <c r="I221" i="23"/>
  <c r="R189" i="23"/>
  <c r="R190" i="23"/>
  <c r="R194" i="23"/>
  <c r="R196" i="23"/>
  <c r="R199" i="23"/>
  <c r="R206" i="23"/>
  <c r="R211" i="23"/>
  <c r="R212" i="23"/>
  <c r="R217" i="23"/>
  <c r="R223" i="23"/>
  <c r="R225" i="23"/>
  <c r="F206" i="23"/>
  <c r="F226" i="23"/>
  <c r="C197" i="23"/>
  <c r="I220" i="23"/>
  <c r="H180" i="23"/>
  <c r="C176" i="23"/>
  <c r="I183" i="23"/>
  <c r="I222" i="23"/>
  <c r="H187" i="23"/>
  <c r="C217" i="23"/>
  <c r="C203" i="23"/>
  <c r="I176" i="23"/>
  <c r="I191" i="23"/>
  <c r="C179" i="23"/>
  <c r="H224" i="23"/>
  <c r="H185" i="23"/>
  <c r="F179" i="23"/>
  <c r="H221" i="23"/>
  <c r="I180" i="23"/>
  <c r="F219" i="23"/>
  <c r="F203" i="23"/>
  <c r="H196" i="23"/>
  <c r="I209" i="23"/>
  <c r="C180" i="23"/>
  <c r="H179" i="23"/>
  <c r="C228" i="23"/>
  <c r="H170" i="23"/>
  <c r="H214" i="23"/>
  <c r="H213" i="23"/>
  <c r="H219" i="23"/>
  <c r="F180" i="23"/>
  <c r="R174" i="23"/>
  <c r="R188" i="23"/>
  <c r="I202" i="23"/>
  <c r="I171" i="23"/>
  <c r="H223" i="23"/>
  <c r="C177" i="23"/>
  <c r="R173" i="23"/>
  <c r="R186" i="23"/>
  <c r="H189" i="23"/>
  <c r="F188" i="23"/>
  <c r="F213" i="23"/>
  <c r="F184" i="23"/>
  <c r="R184" i="23"/>
  <c r="C195" i="23"/>
  <c r="I216" i="23"/>
  <c r="F199" i="23"/>
  <c r="H177" i="23"/>
  <c r="H203" i="23"/>
  <c r="C223" i="23"/>
  <c r="H184" i="23"/>
  <c r="I196" i="23"/>
  <c r="F218" i="23"/>
  <c r="I194" i="23"/>
  <c r="C225" i="23"/>
  <c r="I203" i="23"/>
  <c r="C181" i="23"/>
  <c r="I184" i="23"/>
  <c r="I186" i="23"/>
  <c r="H110" i="23"/>
  <c r="H216" i="23"/>
  <c r="H204" i="23"/>
  <c r="H182" i="23"/>
  <c r="H197" i="23"/>
  <c r="H227" i="23"/>
  <c r="I185" i="23"/>
  <c r="C213" i="23"/>
  <c r="H228" i="23"/>
  <c r="H193" i="23"/>
  <c r="H212" i="23"/>
  <c r="F208" i="23"/>
  <c r="F195" i="23"/>
  <c r="C173" i="23"/>
  <c r="I175" i="23"/>
  <c r="I225" i="23"/>
  <c r="H206" i="23"/>
  <c r="R172" i="23"/>
  <c r="R187" i="23"/>
  <c r="F202" i="23"/>
  <c r="F198" i="23"/>
  <c r="C205" i="23"/>
  <c r="C171" i="23"/>
  <c r="C222" i="23"/>
  <c r="C210" i="23"/>
  <c r="C183" i="23"/>
  <c r="R180" i="23"/>
  <c r="C189" i="23"/>
  <c r="I204" i="23"/>
  <c r="I177" i="23"/>
  <c r="H198" i="23"/>
  <c r="F178" i="23"/>
  <c r="F174" i="23"/>
  <c r="R177" i="23"/>
  <c r="F173" i="23"/>
  <c r="I201" i="23"/>
  <c r="H210" i="23"/>
  <c r="C227" i="23"/>
  <c r="H178" i="23"/>
  <c r="I192" i="23"/>
  <c r="F211" i="23"/>
  <c r="C182" i="23"/>
  <c r="C220" i="23"/>
  <c r="C200" i="23"/>
  <c r="C186" i="23"/>
  <c r="I182" i="23"/>
  <c r="I228" i="23"/>
  <c r="I206" i="23"/>
  <c r="I197" i="23"/>
  <c r="H181" i="23"/>
  <c r="F200" i="23"/>
  <c r="C193" i="23"/>
  <c r="H222" i="23"/>
  <c r="C226" i="23"/>
  <c r="R170" i="23"/>
  <c r="I195" i="23"/>
  <c r="I207" i="23"/>
  <c r="I172" i="23"/>
  <c r="C218" i="23"/>
  <c r="C198" i="23"/>
  <c r="H200" i="23"/>
  <c r="H188" i="23"/>
  <c r="I224" i="23"/>
  <c r="H174" i="23"/>
  <c r="F210" i="23"/>
  <c r="F196" i="23"/>
  <c r="I187" i="23"/>
  <c r="H190" i="23"/>
  <c r="R171" i="23"/>
  <c r="I211" i="23"/>
  <c r="I170" i="23"/>
  <c r="C207" i="23"/>
  <c r="H191" i="23"/>
  <c r="H175" i="23"/>
  <c r="C192" i="23"/>
  <c r="I219" i="23"/>
  <c r="R181" i="23"/>
  <c r="C214" i="23"/>
  <c r="I227" i="23"/>
  <c r="C175" i="23"/>
  <c r="I215" i="23"/>
  <c r="H229" i="23"/>
  <c r="I214" i="23"/>
  <c r="I208" i="23"/>
  <c r="R179" i="23"/>
  <c r="F207" i="23"/>
  <c r="H225" i="23"/>
  <c r="F192" i="23"/>
  <c r="F191" i="23"/>
  <c r="H218" i="23"/>
  <c r="F222" i="23"/>
  <c r="F194" i="23"/>
  <c r="M102" i="6"/>
  <c r="E116" i="6"/>
  <c r="L56" i="84"/>
  <c r="L18" i="19"/>
  <c r="G18" i="19"/>
  <c r="H18" i="19"/>
  <c r="H84" i="52"/>
  <c r="I84" i="52"/>
  <c r="J84" i="52"/>
  <c r="F84" i="52"/>
  <c r="M124" i="6"/>
  <c r="C33" i="52"/>
  <c r="C34" i="52"/>
  <c r="C21" i="52"/>
  <c r="AQ220" i="23"/>
  <c r="AO220" i="23"/>
  <c r="AO216" i="23"/>
  <c r="I116" i="6"/>
  <c r="F55" i="84"/>
  <c r="F52" i="84"/>
  <c r="F53" i="84"/>
  <c r="F54" i="84"/>
  <c r="H244" i="8"/>
  <c r="F272" i="8"/>
  <c r="E123" i="11"/>
  <c r="M74" i="36"/>
  <c r="AO225" i="23"/>
  <c r="M272" i="8"/>
  <c r="L123" i="11"/>
  <c r="AO162" i="23"/>
  <c r="M130" i="11"/>
  <c r="N246" i="8"/>
  <c r="B101" i="6"/>
  <c r="B142" i="6"/>
  <c r="B200" i="6"/>
  <c r="B259" i="6"/>
  <c r="B54" i="6"/>
  <c r="B173" i="6"/>
  <c r="B84" i="6"/>
  <c r="B115" i="6"/>
  <c r="B217" i="6"/>
  <c r="B159" i="6"/>
  <c r="B69" i="6"/>
  <c r="B231" i="6"/>
  <c r="AO227" i="23"/>
  <c r="AO201" i="23"/>
  <c r="AQ201" i="23"/>
  <c r="AO214" i="23"/>
  <c r="AQ211" i="23"/>
  <c r="AO211" i="23"/>
  <c r="AO152" i="23"/>
  <c r="AQ152" i="23"/>
  <c r="AO161" i="23"/>
  <c r="F51" i="11"/>
  <c r="M58" i="11"/>
  <c r="AF194" i="23"/>
  <c r="AF177" i="23"/>
  <c r="AF174" i="23"/>
  <c r="Q235" i="8"/>
  <c r="C12" i="19"/>
  <c r="AO195" i="23"/>
  <c r="AO191" i="23"/>
  <c r="AO183" i="23"/>
  <c r="AO158" i="23"/>
  <c r="AQ181" i="23"/>
  <c r="AO181" i="23"/>
  <c r="AQ169" i="23"/>
  <c r="AO169" i="23"/>
  <c r="AQ163" i="23"/>
  <c r="AO163" i="23"/>
  <c r="AQ160" i="23"/>
  <c r="AO160" i="23"/>
  <c r="AQ188" i="23"/>
  <c r="AO188" i="23"/>
  <c r="AQ164" i="23"/>
  <c r="AO164" i="23"/>
  <c r="F105" i="20"/>
  <c r="O159" i="9"/>
  <c r="AQ205" i="23"/>
  <c r="AY132" i="23"/>
  <c r="AY131" i="23"/>
  <c r="BA224" i="23"/>
  <c r="AV220" i="23"/>
  <c r="BA209" i="23"/>
  <c r="BB205" i="23"/>
  <c r="AV135" i="23"/>
  <c r="AV120" i="23"/>
  <c r="BB227" i="23"/>
  <c r="BB217" i="23"/>
  <c r="AV213" i="23"/>
  <c r="AV129" i="23"/>
  <c r="BA119" i="23"/>
  <c r="BA112" i="23"/>
  <c r="AW224" i="23"/>
  <c r="AV211" i="23"/>
  <c r="AW204" i="23"/>
  <c r="BB202" i="23"/>
  <c r="AY188" i="23"/>
  <c r="BA182" i="23"/>
  <c r="BA169" i="23"/>
  <c r="AW163" i="23"/>
  <c r="AY152" i="23"/>
  <c r="BB147" i="23"/>
  <c r="AW141" i="23"/>
  <c r="BB124" i="23"/>
  <c r="BB203" i="23"/>
  <c r="BA198" i="23"/>
  <c r="BA188" i="23"/>
  <c r="AV186" i="23"/>
  <c r="AW181" i="23"/>
  <c r="BB172" i="23"/>
  <c r="AV166" i="23"/>
  <c r="AY163" i="23"/>
  <c r="AZ163" i="23"/>
  <c r="AW156" i="23"/>
  <c r="BA150" i="23"/>
  <c r="AY142" i="23"/>
  <c r="BA133" i="23"/>
  <c r="BA205" i="23"/>
  <c r="AV197" i="23"/>
  <c r="AV191" i="23"/>
  <c r="AW184" i="23"/>
  <c r="AX184" i="23"/>
  <c r="AW177" i="23"/>
  <c r="AX177" i="23"/>
  <c r="BA166" i="23"/>
  <c r="AW137" i="23"/>
  <c r="AO218" i="23"/>
  <c r="BB133" i="23"/>
  <c r="AY125" i="23"/>
  <c r="AV114" i="23"/>
  <c r="AW126" i="23"/>
  <c r="AY135" i="23"/>
  <c r="AY113" i="23"/>
  <c r="AY225" i="23"/>
  <c r="AY222" i="23"/>
  <c r="BA218" i="23"/>
  <c r="AV216" i="23"/>
  <c r="BA212" i="23"/>
  <c r="AV210" i="23"/>
  <c r="BB208" i="23"/>
  <c r="AW206" i="23"/>
  <c r="AY130" i="23"/>
  <c r="AV118" i="23"/>
  <c r="AW131" i="23"/>
  <c r="AZ131" i="23"/>
  <c r="BA115" i="23"/>
  <c r="AY123" i="23"/>
  <c r="AV111" i="23"/>
  <c r="AW228" i="23"/>
  <c r="AX228" i="23"/>
  <c r="BA226" i="23"/>
  <c r="BA223" i="23"/>
  <c r="AW220" i="23"/>
  <c r="AY218" i="23"/>
  <c r="AW214" i="23"/>
  <c r="AY208" i="23"/>
  <c r="AW134" i="23"/>
  <c r="BB122" i="23"/>
  <c r="AY128" i="23"/>
  <c r="BB113" i="23"/>
  <c r="BB120" i="23"/>
  <c r="AW111" i="23"/>
  <c r="BA228" i="23"/>
  <c r="AV225" i="23"/>
  <c r="AY221" i="23"/>
  <c r="AY214" i="23"/>
  <c r="AW212" i="23"/>
  <c r="AW208" i="23"/>
  <c r="AX208" i="23"/>
  <c r="AY204" i="23"/>
  <c r="AZ204" i="23"/>
  <c r="BA202" i="23"/>
  <c r="AW198" i="23"/>
  <c r="AY194" i="23"/>
  <c r="BA192" i="23"/>
  <c r="AV188" i="23"/>
  <c r="AW186" i="23"/>
  <c r="BB183" i="23"/>
  <c r="AV181" i="23"/>
  <c r="BA177" i="23"/>
  <c r="BB173" i="23"/>
  <c r="AW169" i="23"/>
  <c r="BB167" i="23"/>
  <c r="BA163" i="23"/>
  <c r="BB160" i="23"/>
  <c r="BB157" i="23"/>
  <c r="AV153" i="23"/>
  <c r="BA151" i="23"/>
  <c r="BA148" i="23"/>
  <c r="BB145" i="23"/>
  <c r="BA142" i="23"/>
  <c r="BB139" i="23"/>
  <c r="BB129" i="23"/>
  <c r="AW119" i="23"/>
  <c r="AV112" i="23"/>
  <c r="BB201" i="23"/>
  <c r="BA199" i="23"/>
  <c r="AY196" i="23"/>
  <c r="BB192" i="23"/>
  <c r="AV189" i="23"/>
  <c r="AV187" i="23"/>
  <c r="BA184" i="23"/>
  <c r="BB181" i="23"/>
  <c r="AV179" i="23"/>
  <c r="AV176" i="23"/>
  <c r="BA173" i="23"/>
  <c r="AV170" i="23"/>
  <c r="BA167" i="23"/>
  <c r="AV164" i="23"/>
  <c r="AY160" i="23"/>
  <c r="AV157" i="23"/>
  <c r="AW154" i="23"/>
  <c r="BB151" i="23"/>
  <c r="AV147" i="23"/>
  <c r="BB142" i="23"/>
  <c r="AV140" i="23"/>
  <c r="BA134" i="23"/>
  <c r="AV128" i="23"/>
  <c r="AY114" i="23"/>
  <c r="AY201" i="23"/>
  <c r="AY198" i="23"/>
  <c r="AW195" i="23"/>
  <c r="AY192" i="23"/>
  <c r="AY190" i="23"/>
  <c r="AY185" i="23"/>
  <c r="BA181" i="23"/>
  <c r="AV178" i="23"/>
  <c r="AW176" i="23"/>
  <c r="AV173" i="23"/>
  <c r="BA170" i="23"/>
  <c r="BB166" i="23"/>
  <c r="BB164" i="23"/>
  <c r="AY161" i="23"/>
  <c r="AV158" i="23"/>
  <c r="AV155" i="23"/>
  <c r="AY151" i="23"/>
  <c r="BB148" i="23"/>
  <c r="AY145" i="23"/>
  <c r="AV142" i="23"/>
  <c r="AV139" i="23"/>
  <c r="BA136" i="23"/>
  <c r="BA123" i="23"/>
  <c r="AV115" i="23"/>
  <c r="AY202" i="23"/>
  <c r="AY199" i="23"/>
  <c r="AV196" i="23"/>
  <c r="BB194" i="23"/>
  <c r="AW189" i="23"/>
  <c r="BB185" i="23"/>
  <c r="AV180" i="23"/>
  <c r="AW175" i="23"/>
  <c r="BA172" i="23"/>
  <c r="BB169" i="23"/>
  <c r="AW166" i="23"/>
  <c r="BA162" i="23"/>
  <c r="BA158" i="23"/>
  <c r="AY156" i="23"/>
  <c r="BA153" i="23"/>
  <c r="AV148" i="23"/>
  <c r="BA146" i="23"/>
  <c r="BB144" i="23"/>
  <c r="AW140" i="23"/>
  <c r="AX140" i="23"/>
  <c r="AV137" i="23"/>
  <c r="BA130" i="23"/>
  <c r="BA117" i="23"/>
  <c r="AQ203" i="23"/>
  <c r="O118" i="6"/>
  <c r="P58" i="8"/>
  <c r="N54" i="11"/>
  <c r="AO159" i="23"/>
  <c r="AQ159" i="23"/>
  <c r="AO178" i="23"/>
  <c r="AO170" i="23"/>
  <c r="AQ170" i="23"/>
  <c r="D21" i="52"/>
  <c r="D33" i="52"/>
  <c r="D34" i="52"/>
  <c r="G34" i="52"/>
  <c r="D35" i="52"/>
  <c r="G35" i="52"/>
  <c r="I93" i="36"/>
  <c r="C90" i="36"/>
  <c r="C88" i="36"/>
  <c r="I94" i="36"/>
  <c r="I95" i="36"/>
  <c r="F88" i="36"/>
  <c r="R95" i="36"/>
  <c r="R88" i="36"/>
  <c r="C86" i="36"/>
  <c r="F89" i="36"/>
  <c r="I89" i="36"/>
  <c r="H92" i="36"/>
  <c r="I87" i="36"/>
  <c r="F93" i="36"/>
  <c r="F86" i="36"/>
  <c r="H88" i="36"/>
  <c r="H90" i="36"/>
  <c r="H94" i="36"/>
  <c r="H91" i="36"/>
  <c r="F90" i="36"/>
  <c r="H86" i="36"/>
  <c r="C92" i="36"/>
  <c r="H95" i="36"/>
  <c r="C87" i="36"/>
  <c r="H85" i="36"/>
  <c r="F95" i="36"/>
  <c r="C93" i="36"/>
  <c r="I90" i="36"/>
  <c r="R89" i="36"/>
  <c r="I86" i="36"/>
  <c r="I92" i="36"/>
  <c r="F96" i="36"/>
  <c r="R92" i="36"/>
  <c r="I85" i="36"/>
  <c r="I91" i="36"/>
  <c r="C96" i="36"/>
  <c r="C94" i="36"/>
  <c r="R86" i="36"/>
  <c r="F87" i="36"/>
  <c r="R94" i="36"/>
  <c r="R91" i="36"/>
  <c r="H89" i="36"/>
  <c r="H96" i="36"/>
  <c r="R93" i="36"/>
  <c r="R87" i="36"/>
  <c r="H93" i="36"/>
  <c r="H87" i="36"/>
  <c r="C89" i="36"/>
  <c r="R96" i="36"/>
  <c r="C91" i="36"/>
  <c r="R90" i="36"/>
  <c r="I88" i="36"/>
  <c r="F91" i="36"/>
  <c r="F94" i="36"/>
  <c r="F92" i="36"/>
  <c r="F85" i="36"/>
  <c r="I96" i="36"/>
  <c r="C95" i="36"/>
  <c r="I174" i="23"/>
  <c r="I213" i="23"/>
  <c r="C219" i="23"/>
  <c r="C170" i="23"/>
  <c r="H205" i="23"/>
  <c r="F176" i="23"/>
  <c r="I179" i="23"/>
  <c r="C199" i="23"/>
  <c r="F181" i="23"/>
  <c r="C174" i="23"/>
  <c r="F201" i="23"/>
  <c r="I189" i="23"/>
  <c r="I229" i="23"/>
  <c r="I217" i="23"/>
  <c r="H171" i="23"/>
  <c r="C194" i="23"/>
  <c r="F225" i="23"/>
  <c r="R191" i="23"/>
  <c r="F190" i="23"/>
  <c r="F189" i="23"/>
  <c r="I188" i="23"/>
  <c r="F216" i="23"/>
  <c r="F215" i="23"/>
  <c r="C184" i="23"/>
  <c r="H202" i="23"/>
  <c r="F193" i="23"/>
  <c r="C211" i="23"/>
  <c r="I200" i="23"/>
  <c r="R175" i="23"/>
  <c r="C185" i="23"/>
  <c r="R176" i="23"/>
  <c r="H220" i="23"/>
  <c r="F212" i="23"/>
  <c r="C196" i="23"/>
  <c r="C204" i="23"/>
  <c r="H183" i="23"/>
  <c r="F172" i="23"/>
  <c r="C202" i="23"/>
  <c r="F197" i="23"/>
  <c r="H201" i="23"/>
  <c r="H207" i="23"/>
  <c r="H211" i="23"/>
  <c r="I226" i="23"/>
  <c r="I223" i="23"/>
  <c r="F223" i="23"/>
  <c r="H194" i="23"/>
  <c r="I181" i="23"/>
  <c r="H208" i="23"/>
  <c r="C206" i="23"/>
  <c r="C216" i="23"/>
  <c r="H215"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208" i="23"/>
  <c r="H176" i="23"/>
  <c r="F228" i="23"/>
  <c r="F177" i="23"/>
  <c r="F229" i="23"/>
  <c r="F204" i="23"/>
  <c r="AO215" i="23"/>
  <c r="AQ215" i="23"/>
  <c r="AQ212" i="23"/>
  <c r="AO212" i="23"/>
  <c r="AO194" i="23"/>
  <c r="AQ194" i="23"/>
  <c r="AO155" i="23"/>
  <c r="AQ155" i="23"/>
  <c r="AQ206" i="23"/>
  <c r="AO206" i="23"/>
  <c r="AO147" i="23"/>
  <c r="AQ147" i="23"/>
  <c r="AQ186" i="23"/>
  <c r="AO186" i="23"/>
  <c r="AQ172" i="23"/>
  <c r="AO172" i="23"/>
  <c r="AO165" i="23"/>
  <c r="AO180" i="23"/>
  <c r="AQ180" i="23"/>
  <c r="AQ153" i="23"/>
  <c r="AO153" i="23"/>
  <c r="AO149" i="23"/>
  <c r="AQ149" i="23"/>
  <c r="AO192" i="23"/>
  <c r="AQ192" i="23"/>
  <c r="AO185" i="23"/>
  <c r="AQ185" i="23"/>
  <c r="H36" i="23"/>
  <c r="G36" i="23"/>
  <c r="AC36" i="23"/>
  <c r="O36" i="23"/>
  <c r="Y36" i="23"/>
  <c r="AG36" i="23"/>
  <c r="B37" i="23"/>
  <c r="H24" i="19"/>
  <c r="J24" i="19"/>
  <c r="AN104" i="23"/>
  <c r="AN105" i="23"/>
  <c r="AP110" i="23"/>
  <c r="BB130" i="23"/>
  <c r="AV121" i="23"/>
  <c r="AW133" i="23"/>
  <c r="BB119" i="23"/>
  <c r="BA126" i="23"/>
  <c r="AY226" i="23"/>
  <c r="AV223" i="23"/>
  <c r="BB220" i="23"/>
  <c r="BA217" i="23"/>
  <c r="AY215" i="23"/>
  <c r="AW211" i="23"/>
  <c r="AW209" i="23"/>
  <c r="AX209" i="23"/>
  <c r="AW207" i="23"/>
  <c r="AY134" i="23"/>
  <c r="AY126" i="23"/>
  <c r="AW112" i="23"/>
  <c r="AX112" i="23"/>
  <c r="BA125" i="23"/>
  <c r="AV131" i="23"/>
  <c r="AY118" i="23"/>
  <c r="BA229" i="23"/>
  <c r="BA227" i="23"/>
  <c r="AY224" i="23"/>
  <c r="BA221" i="23"/>
  <c r="AW219" i="23"/>
  <c r="AY216" i="23"/>
  <c r="AY210" i="23"/>
  <c r="AV207" i="23"/>
  <c r="AV126" i="23"/>
  <c r="BB116" i="23"/>
  <c r="AV122" i="23"/>
  <c r="BB128" i="23"/>
  <c r="AY117" i="23"/>
  <c r="AZ117" i="23"/>
  <c r="AV229" i="23"/>
  <c r="AW226" i="23"/>
  <c r="AZ226" i="23"/>
  <c r="AV222" i="23"/>
  <c r="AV217" i="23"/>
  <c r="AY213" i="23"/>
  <c r="BB210" i="23"/>
  <c r="AW205" i="23"/>
  <c r="AV203" i="23"/>
  <c r="AW200" i="23"/>
  <c r="BA196" i="23"/>
  <c r="AW193" i="23"/>
  <c r="AW190" i="23"/>
  <c r="AY187" i="23"/>
  <c r="AY184" i="23"/>
  <c r="AZ184" i="23"/>
  <c r="AV182" i="23"/>
  <c r="AY179" i="23"/>
  <c r="AY176" i="23"/>
  <c r="AZ176" i="23"/>
  <c r="BA171" i="23"/>
  <c r="AY168" i="23"/>
  <c r="AW165" i="23"/>
  <c r="AW162" i="23"/>
  <c r="AX162" i="23"/>
  <c r="BB158" i="23"/>
  <c r="AW155" i="23"/>
  <c r="BA152" i="23"/>
  <c r="AV150" i="23"/>
  <c r="BB146" i="23"/>
  <c r="AV144" i="23"/>
  <c r="AY141" i="23"/>
  <c r="BB137" i="23"/>
  <c r="AW123" i="23"/>
  <c r="AZ123" i="23"/>
  <c r="BB115" i="23"/>
  <c r="AV202" i="23"/>
  <c r="BA200" i="23"/>
  <c r="BA197" i="23"/>
  <c r="AV194" i="23"/>
  <c r="AV190" i="23"/>
  <c r="BB188" i="23"/>
  <c r="AV185" i="23"/>
  <c r="AY183" i="23"/>
  <c r="BB180" i="23"/>
  <c r="BB178" i="23"/>
  <c r="BA174" i="23"/>
  <c r="AV172" i="23"/>
  <c r="AV168" i="23"/>
  <c r="AV165" i="23"/>
  <c r="AY162" i="23"/>
  <c r="BB159" i="23"/>
  <c r="BB155" i="23"/>
  <c r="AW153" i="23"/>
  <c r="AY149" i="23"/>
  <c r="BA143" i="23"/>
  <c r="BB141" i="23"/>
  <c r="BA138" i="23"/>
  <c r="BB132" i="23"/>
  <c r="AY122" i="23"/>
  <c r="BA204" i="23"/>
  <c r="AV200" i="23"/>
  <c r="AW196" i="23"/>
  <c r="AX196" i="23"/>
  <c r="AY193" i="23"/>
  <c r="AY191" i="23"/>
  <c r="AW188" i="23"/>
  <c r="AZ188" i="23"/>
  <c r="AV183" i="23"/>
  <c r="BB179" i="23"/>
  <c r="AV177" i="23"/>
  <c r="AY174" i="23"/>
  <c r="AW172" i="23"/>
  <c r="AW168" i="23"/>
  <c r="AX168" i="23"/>
  <c r="BA165" i="23"/>
  <c r="AV162" i="23"/>
  <c r="BA160" i="23"/>
  <c r="AY157" i="23"/>
  <c r="AY153" i="23"/>
  <c r="AZ153" i="23" s="1"/>
  <c r="AV149" i="23"/>
  <c r="AW147" i="23"/>
  <c r="BA144" i="23"/>
  <c r="AY140" i="23"/>
  <c r="AZ140" i="23"/>
  <c r="BA137" i="23"/>
  <c r="BB131" i="23"/>
  <c r="BB118" i="23"/>
  <c r="AV204" i="23"/>
  <c r="BA201" i="23"/>
  <c r="AV198" i="23"/>
  <c r="AY195" i="23"/>
  <c r="AZ195" i="23"/>
  <c r="AW191" i="23"/>
  <c r="AZ191" i="23" s="1"/>
  <c r="BA186" i="23"/>
  <c r="AW183" i="23"/>
  <c r="AZ183" i="23"/>
  <c r="AY178" i="23"/>
  <c r="AW174" i="23"/>
  <c r="AX174" i="23"/>
  <c r="BB170" i="23"/>
  <c r="BB168" i="23"/>
  <c r="AY164" i="23"/>
  <c r="AV160" i="23"/>
  <c r="AW157" i="23"/>
  <c r="BA154" i="23"/>
  <c r="AV151" i="23"/>
  <c r="AY147" i="23"/>
  <c r="AZ147" i="23"/>
  <c r="AV145" i="23"/>
  <c r="AY143" i="23"/>
  <c r="AW138" i="23"/>
  <c r="AZ138" i="23"/>
  <c r="AW136" i="23"/>
  <c r="AQ162" i="23"/>
  <c r="J55" i="9"/>
  <c r="J61" i="9"/>
  <c r="AV205" i="23"/>
  <c r="BA210" i="23"/>
  <c r="AY211" i="23"/>
  <c r="AZ211" i="23"/>
  <c r="BB212" i="23"/>
  <c r="AW213" i="23"/>
  <c r="AX213" i="23"/>
  <c r="AV219" i="23"/>
  <c r="BA222" i="23"/>
  <c r="AW223" i="23"/>
  <c r="AX223" i="23"/>
  <c r="AW227" i="23"/>
  <c r="AW229" i="23"/>
  <c r="AX229" i="23"/>
  <c r="AV208" i="23"/>
  <c r="BB215" i="23"/>
  <c r="AW217" i="23"/>
  <c r="AV224" i="23"/>
  <c r="AV228" i="23"/>
  <c r="BA207" i="23"/>
  <c r="BB209" i="23"/>
  <c r="BB211" i="23"/>
  <c r="BB214" i="23"/>
  <c r="BA215" i="23"/>
  <c r="BA216" i="23"/>
  <c r="BB219" i="23"/>
  <c r="AW221" i="23"/>
  <c r="BB224" i="23"/>
  <c r="BB228" i="23"/>
  <c r="AY111" i="23"/>
  <c r="BB206" i="23"/>
  <c r="AV212" i="23"/>
  <c r="AY220" i="23"/>
  <c r="AZ220" i="23"/>
  <c r="AV227" i="23"/>
  <c r="AV113" i="23"/>
  <c r="AY121" i="23"/>
  <c r="BA118" i="23"/>
  <c r="BA132" i="23"/>
  <c r="BA121" i="23"/>
  <c r="AW129" i="23"/>
  <c r="AW216" i="23"/>
  <c r="AZ216" i="23"/>
  <c r="AV221" i="23"/>
  <c r="BA225" i="23"/>
  <c r="AY119" i="23"/>
  <c r="AW113" i="23"/>
  <c r="AZ113" i="23"/>
  <c r="AY129" i="23"/>
  <c r="AV117" i="23"/>
  <c r="BB127" i="23"/>
  <c r="BB135" i="23"/>
  <c r="BB213" i="23"/>
  <c r="BA214" i="23"/>
  <c r="AV218" i="23"/>
  <c r="AY112" i="23"/>
  <c r="AW118" i="23"/>
  <c r="AY133" i="23"/>
  <c r="AZ133" i="23"/>
  <c r="BB126" i="23"/>
  <c r="BA114" i="23"/>
  <c r="AW125" i="23"/>
  <c r="AV133" i="23"/>
  <c r="BA129" i="23"/>
  <c r="BA131" i="23"/>
  <c r="AW115" i="23"/>
  <c r="AX115" i="23"/>
  <c r="BA122" i="23"/>
  <c r="BA135" i="23"/>
  <c r="AV123" i="23"/>
  <c r="AF149" i="23"/>
  <c r="AF189" i="23"/>
  <c r="AO182" i="23"/>
  <c r="AO207" i="23"/>
  <c r="AQ207" i="23"/>
  <c r="AO200" i="23"/>
  <c r="AO176" i="23"/>
  <c r="AQ176" i="23"/>
  <c r="AO184" i="23"/>
  <c r="AQ184" i="23"/>
  <c r="L90" i="11"/>
  <c r="M176" i="6"/>
  <c r="M138" i="8"/>
  <c r="J54" i="11"/>
  <c r="K118" i="6"/>
  <c r="C130" i="11"/>
  <c r="D246" i="8"/>
  <c r="AO222" i="23"/>
  <c r="AO199" i="23"/>
  <c r="AQ199" i="23"/>
  <c r="AO197" i="23"/>
  <c r="AQ197" i="23"/>
  <c r="AO221" i="23"/>
  <c r="AQ221" i="23"/>
  <c r="AO213" i="23"/>
  <c r="AO173" i="23"/>
  <c r="AO148" i="23"/>
  <c r="AQ148" i="23"/>
  <c r="AQ187" i="23"/>
  <c r="AO187" i="23"/>
  <c r="AO174" i="23"/>
  <c r="AQ174" i="23"/>
  <c r="AO167" i="23"/>
  <c r="AQ167" i="23"/>
  <c r="AQ157" i="23"/>
  <c r="AO157" i="23"/>
  <c r="AO150" i="23"/>
  <c r="AQ150" i="23"/>
  <c r="AQ193" i="23"/>
  <c r="AO193" i="23"/>
  <c r="AQ190" i="23"/>
  <c r="AO190" i="23"/>
  <c r="AO179" i="23"/>
  <c r="AQ179" i="23"/>
  <c r="AQ156" i="23"/>
  <c r="AO156" i="23"/>
  <c r="F104" i="6"/>
  <c r="G57" i="8"/>
  <c r="G116" i="9"/>
  <c r="G117" i="9"/>
  <c r="E75" i="11"/>
  <c r="BB123" i="23"/>
  <c r="AY124" i="23"/>
  <c r="AZ124" i="23"/>
  <c r="BB112" i="23"/>
  <c r="BB218" i="23"/>
  <c r="BA211" i="23"/>
  <c r="AY207" i="23"/>
  <c r="AW128" i="23"/>
  <c r="AZ128" i="23"/>
  <c r="AW127" i="23"/>
  <c r="AZ127" i="23"/>
  <c r="AY229" i="23"/>
  <c r="AW225" i="23"/>
  <c r="AZ225" i="23"/>
  <c r="AY219" i="23"/>
  <c r="BB207" i="23"/>
  <c r="AW120" i="23"/>
  <c r="AV132" i="23"/>
  <c r="AY227" i="23"/>
  <c r="BA213" i="23"/>
  <c r="AV206" i="23"/>
  <c r="BB197" i="23"/>
  <c r="BA191" i="23"/>
  <c r="BA185" i="23"/>
  <c r="AY180" i="23"/>
  <c r="AY172" i="23"/>
  <c r="AZ172" i="23"/>
  <c r="AY166" i="23"/>
  <c r="BA156" i="23"/>
  <c r="AY150" i="23"/>
  <c r="AW144" i="23"/>
  <c r="AV138" i="23"/>
  <c r="BA116" i="23"/>
  <c r="AY200" i="23"/>
  <c r="AZ200" i="23"/>
  <c r="BB191" i="23"/>
  <c r="BA183" i="23"/>
  <c r="AW178" i="23"/>
  <c r="AZ178" i="23"/>
  <c r="AY170" i="23"/>
  <c r="AW160" i="23"/>
  <c r="AZ160" i="23"/>
  <c r="BB153" i="23"/>
  <c r="AY146" i="23"/>
  <c r="BA139" i="23"/>
  <c r="BB125" i="23"/>
  <c r="AV201" i="23"/>
  <c r="BA194" i="23"/>
  <c r="BA189" i="23"/>
  <c r="BA180" i="23"/>
  <c r="AV175" i="23"/>
  <c r="AY173" i="23"/>
  <c r="AY169" i="23"/>
  <c r="BB163" i="23"/>
  <c r="BB161" i="23"/>
  <c r="BA157" i="23"/>
  <c r="AY154" i="23"/>
  <c r="AW150" i="23"/>
  <c r="AZ150" i="23"/>
  <c r="AY148" i="23"/>
  <c r="BA145" i="23"/>
  <c r="AV141" i="23"/>
  <c r="BB138" i="23"/>
  <c r="AV136" i="23"/>
  <c r="AV119" i="23"/>
  <c r="BB204" i="23"/>
  <c r="AW201" i="23"/>
  <c r="AZ201" i="23"/>
  <c r="BB198" i="23"/>
  <c r="BB195" i="23"/>
  <c r="BB193" i="23"/>
  <c r="BA187" i="23"/>
  <c r="AV184" i="23"/>
  <c r="BA179" i="23"/>
  <c r="BB175" i="23"/>
  <c r="BB171" i="23"/>
  <c r="AV169" i="23"/>
  <c r="BB165" i="23"/>
  <c r="AW161" i="23"/>
  <c r="AZ161" i="23"/>
  <c r="AY158" i="23"/>
  <c r="AY155" i="23"/>
  <c r="BB152" i="23"/>
  <c r="AW148" i="23"/>
  <c r="AX148" i="23"/>
  <c r="AW145" i="23"/>
  <c r="AZ145" i="23"/>
  <c r="AX145" i="23"/>
  <c r="BB143" i="23"/>
  <c r="AW139" i="23"/>
  <c r="AX139" i="23"/>
  <c r="BA127" i="23"/>
  <c r="BB111" i="23"/>
  <c r="G36" i="52"/>
  <c r="AN103" i="23"/>
  <c r="AX117" i="23"/>
  <c r="AX124" i="23"/>
  <c r="AX142" i="23"/>
  <c r="AZ142" i="23"/>
  <c r="H216" i="8"/>
  <c r="C48" i="10"/>
  <c r="C57" i="10"/>
  <c r="AX206" i="23"/>
  <c r="AX131" i="23"/>
  <c r="AX220" i="23"/>
  <c r="AX134" i="23"/>
  <c r="AX111" i="23"/>
  <c r="AX198" i="23"/>
  <c r="AZ198" i="23"/>
  <c r="AX186" i="23"/>
  <c r="AX169" i="23"/>
  <c r="AX176" i="23"/>
  <c r="AX189" i="23"/>
  <c r="AX175" i="23"/>
  <c r="M216" i="8"/>
  <c r="K130" i="11"/>
  <c r="W90" i="36"/>
  <c r="Y90" i="36"/>
  <c r="Y86" i="36"/>
  <c r="W86" i="36"/>
  <c r="Y91" i="36"/>
  <c r="W91" i="36"/>
  <c r="O137" i="8"/>
  <c r="B38" i="52"/>
  <c r="C37" i="52"/>
  <c r="D37" i="52"/>
  <c r="G37" i="52"/>
  <c r="K215" i="8"/>
  <c r="I246" i="8"/>
  <c r="H130" i="11"/>
  <c r="O89" i="36"/>
  <c r="O94" i="36"/>
  <c r="Q88" i="36"/>
  <c r="L91" i="36"/>
  <c r="Q94" i="36"/>
  <c r="M86" i="36"/>
  <c r="M91" i="36"/>
  <c r="L95" i="36"/>
  <c r="M88" i="36"/>
  <c r="N88" i="36"/>
  <c r="L93" i="36"/>
  <c r="O86" i="36"/>
  <c r="P86" i="36" s="1"/>
  <c r="O88" i="36"/>
  <c r="L92" i="36"/>
  <c r="L86" i="36"/>
  <c r="Q90" i="36"/>
  <c r="O93" i="36"/>
  <c r="Q87" i="36"/>
  <c r="L90" i="36"/>
  <c r="M94" i="36"/>
  <c r="M87" i="36"/>
  <c r="Q93" i="36"/>
  <c r="O96" i="36"/>
  <c r="O87" i="36"/>
  <c r="P87" i="36" s="1"/>
  <c r="Q91" i="36"/>
  <c r="L96" i="36"/>
  <c r="M89" i="36"/>
  <c r="Q92" i="36"/>
  <c r="Q96" i="36"/>
  <c r="Q89" i="36"/>
  <c r="M93" i="36"/>
  <c r="L87" i="36"/>
  <c r="O92" i="36"/>
  <c r="Q95" i="36"/>
  <c r="M90" i="36"/>
  <c r="M95" i="36"/>
  <c r="O90" i="36"/>
  <c r="O91" i="36"/>
  <c r="P91" i="36"/>
  <c r="M96" i="36"/>
  <c r="L88" i="36"/>
  <c r="M92" i="36"/>
  <c r="Q86" i="36"/>
  <c r="L94" i="36"/>
  <c r="L89" i="36"/>
  <c r="O95" i="36"/>
  <c r="G33" i="52"/>
  <c r="AX159" i="23"/>
  <c r="AF110" i="23"/>
  <c r="Y96" i="36"/>
  <c r="W96" i="36"/>
  <c r="O24" i="36"/>
  <c r="N24" i="36"/>
  <c r="F138" i="8"/>
  <c r="F145" i="9"/>
  <c r="H143" i="9"/>
  <c r="F141" i="9"/>
  <c r="G142" i="9"/>
  <c r="F147" i="9"/>
  <c r="F148" i="9"/>
  <c r="F146" i="9"/>
  <c r="I144" i="9"/>
  <c r="L159" i="9"/>
  <c r="K84" i="52"/>
  <c r="E129" i="9"/>
  <c r="D54" i="11"/>
  <c r="E118" i="6"/>
  <c r="F58" i="8"/>
  <c r="AX133" i="23"/>
  <c r="AX211" i="23"/>
  <c r="AX207" i="23"/>
  <c r="AZ207" i="23"/>
  <c r="AX219" i="23"/>
  <c r="AZ219" i="23"/>
  <c r="AX200" i="23"/>
  <c r="AX193" i="23"/>
  <c r="AX190" i="23"/>
  <c r="AZ190" i="23"/>
  <c r="AX165" i="23"/>
  <c r="AZ155" i="23"/>
  <c r="AX155" i="23"/>
  <c r="AX153" i="23"/>
  <c r="AX188" i="23"/>
  <c r="AZ168" i="23"/>
  <c r="AX191" i="23"/>
  <c r="AX157" i="23"/>
  <c r="AZ157" i="23"/>
  <c r="AX136" i="23"/>
  <c r="K138" i="9"/>
  <c r="I111" i="11"/>
  <c r="G125" i="6"/>
  <c r="H53" i="9"/>
  <c r="G122" i="6"/>
  <c r="G123" i="6"/>
  <c r="H53" i="8"/>
  <c r="G121" i="6"/>
  <c r="G124" i="6"/>
  <c r="G120" i="6"/>
  <c r="G126" i="6"/>
  <c r="T37" i="23"/>
  <c r="E125" i="6"/>
  <c r="E123" i="6"/>
  <c r="E124" i="6"/>
  <c r="F53" i="9"/>
  <c r="E121" i="6"/>
  <c r="E120" i="6"/>
  <c r="P60" i="5"/>
  <c r="D33" i="5"/>
  <c r="E122" i="6"/>
  <c r="E54" i="9"/>
  <c r="W92" i="36"/>
  <c r="Y92" i="36"/>
  <c r="C111" i="11"/>
  <c r="N116" i="9"/>
  <c r="M104" i="6"/>
  <c r="AZ132" i="23"/>
  <c r="AX132" i="23"/>
  <c r="AX171" i="23"/>
  <c r="AX121" i="23"/>
  <c r="AZ121" i="23"/>
  <c r="AX116" i="23"/>
  <c r="N54" i="9"/>
  <c r="N55" i="9"/>
  <c r="Y95" i="36"/>
  <c r="W95" i="36"/>
  <c r="H246" i="8"/>
  <c r="G130" i="11"/>
  <c r="I118" i="6"/>
  <c r="J58" i="8"/>
  <c r="H54" i="11"/>
  <c r="AX127" i="23"/>
  <c r="AX225" i="23"/>
  <c r="AX224" i="23"/>
  <c r="AZ224" i="23"/>
  <c r="AX204" i="23"/>
  <c r="AX163" i="23"/>
  <c r="AX141" i="23"/>
  <c r="AX178" i="23"/>
  <c r="AX201" i="23"/>
  <c r="AX137" i="23"/>
  <c r="G138" i="8"/>
  <c r="J58" i="9"/>
  <c r="I64" i="9"/>
  <c r="I61" i="9"/>
  <c r="K59" i="9"/>
  <c r="I62" i="9"/>
  <c r="I63" i="9"/>
  <c r="L60" i="9"/>
  <c r="K104" i="6"/>
  <c r="L116" i="9"/>
  <c r="Y89" i="36"/>
  <c r="W89" i="36"/>
  <c r="W87" i="36"/>
  <c r="Y87" i="36"/>
  <c r="Y94" i="36"/>
  <c r="W94" i="36"/>
  <c r="W88" i="36"/>
  <c r="Y88" i="36"/>
  <c r="P138" i="9"/>
  <c r="P139" i="9"/>
  <c r="E124" i="9"/>
  <c r="E120" i="9"/>
  <c r="E125" i="9"/>
  <c r="E126" i="9"/>
  <c r="G122" i="9"/>
  <c r="E127" i="9"/>
  <c r="H123" i="9"/>
  <c r="F121" i="9"/>
  <c r="E88" i="8"/>
  <c r="M126" i="6"/>
  <c r="L55" i="11"/>
  <c r="O134" i="6"/>
  <c r="H126" i="6"/>
  <c r="H128" i="6"/>
  <c r="I59" i="8"/>
  <c r="G55" i="11"/>
  <c r="AX125" i="23"/>
  <c r="AZ125" i="23"/>
  <c r="AX118" i="23"/>
  <c r="O37" i="23"/>
  <c r="G37" i="23"/>
  <c r="AC37" i="23"/>
  <c r="AG37" i="23"/>
  <c r="B38" i="23"/>
  <c r="AC38" i="23"/>
  <c r="Y37" i="23"/>
  <c r="U37" i="23"/>
  <c r="H37" i="23"/>
  <c r="AX183" i="23"/>
  <c r="AX172" i="23"/>
  <c r="AZ196" i="23"/>
  <c r="AX123" i="23"/>
  <c r="AX226" i="23"/>
  <c r="AZ223" i="23"/>
  <c r="AZ213" i="23"/>
  <c r="J63" i="9"/>
  <c r="K58" i="9"/>
  <c r="AX129" i="23"/>
  <c r="C47" i="10"/>
  <c r="C56" i="10"/>
  <c r="AX120" i="23"/>
  <c r="AX195" i="23"/>
  <c r="AZ208" i="23"/>
  <c r="AX221" i="23"/>
  <c r="AZ221" i="23"/>
  <c r="I24" i="36"/>
  <c r="AX216" i="23"/>
  <c r="AX227" i="23"/>
  <c r="K139" i="9"/>
  <c r="K141" i="9"/>
  <c r="M143" i="9"/>
  <c r="N94" i="36"/>
  <c r="N91" i="36"/>
  <c r="L117" i="9"/>
  <c r="F54" i="9"/>
  <c r="D74" i="11"/>
  <c r="P92" i="36"/>
  <c r="N92" i="36"/>
  <c r="N87" i="36"/>
  <c r="N57" i="8"/>
  <c r="P95" i="36"/>
  <c r="N95" i="36"/>
  <c r="J147" i="11"/>
  <c r="P88" i="36"/>
  <c r="C74" i="11"/>
  <c r="K148" i="9"/>
  <c r="L142" i="9"/>
  <c r="L57" i="8"/>
  <c r="N117" i="9"/>
  <c r="L75" i="11"/>
  <c r="T38" i="23"/>
  <c r="N96" i="36"/>
  <c r="P96" i="36"/>
  <c r="P90" i="36"/>
  <c r="N90" i="36"/>
  <c r="P93" i="36"/>
  <c r="N93" i="36"/>
  <c r="P89" i="36"/>
  <c r="N89" i="36"/>
  <c r="B39" i="52"/>
  <c r="D38" i="52"/>
  <c r="C38" i="52"/>
  <c r="G38" i="52" s="1"/>
  <c r="E55" i="9"/>
  <c r="G59" i="9"/>
  <c r="L160" i="9"/>
  <c r="O165" i="9"/>
  <c r="K146" i="9"/>
  <c r="Y38" i="23"/>
  <c r="AG38" i="23"/>
  <c r="O38" i="23"/>
  <c r="H38" i="23"/>
  <c r="B39" i="23"/>
  <c r="P39" i="23"/>
  <c r="G38" i="23"/>
  <c r="K145" i="9"/>
  <c r="N144" i="9"/>
  <c r="C39" i="52"/>
  <c r="B40" i="52"/>
  <c r="B41" i="52"/>
  <c r="D39" i="52"/>
  <c r="G39" i="52"/>
  <c r="J75" i="11"/>
  <c r="E61" i="9"/>
  <c r="E63" i="9"/>
  <c r="F58" i="9"/>
  <c r="E62" i="9"/>
  <c r="H60" i="9"/>
  <c r="F55" i="9"/>
  <c r="F61" i="9"/>
  <c r="G39" i="23"/>
  <c r="F63" i="9"/>
  <c r="G58" i="9"/>
  <c r="H59" i="9"/>
  <c r="F62" i="9"/>
  <c r="I104" i="11"/>
  <c r="G258" i="8"/>
  <c r="Q252" i="8"/>
  <c r="Q248" i="8"/>
  <c r="F258" i="8"/>
  <c r="Q253" i="8"/>
  <c r="I258" i="8"/>
  <c r="H258" i="8"/>
  <c r="Q256" i="8"/>
  <c r="O258" i="8"/>
  <c r="N258" i="8"/>
  <c r="M131" i="11"/>
  <c r="Q255" i="8"/>
  <c r="H184" i="8"/>
  <c r="Q250" i="8"/>
  <c r="Q241" i="8"/>
  <c r="G244" i="8"/>
  <c r="J168" i="8"/>
  <c r="K13" i="52"/>
  <c r="D129" i="9"/>
  <c r="D42" i="9"/>
  <c r="AO189" i="23"/>
  <c r="AQ222" i="23"/>
  <c r="Y35" i="23"/>
  <c r="E57" i="9"/>
  <c r="D77" i="9"/>
  <c r="D97" i="9"/>
  <c r="I57" i="9"/>
  <c r="R80" i="8"/>
  <c r="L81" i="8"/>
  <c r="J68" i="11" s="1"/>
  <c r="J81" i="8"/>
  <c r="H68" i="11" s="1"/>
  <c r="F81" i="8"/>
  <c r="D68" i="11" s="1"/>
  <c r="D104" i="23"/>
  <c r="F110" i="23"/>
  <c r="C35" i="10"/>
  <c r="E35" i="10"/>
  <c r="G35" i="10"/>
  <c r="I35" i="10"/>
  <c r="F98" i="20"/>
  <c r="R90" i="8"/>
  <c r="D101" i="8"/>
  <c r="D103" i="8"/>
  <c r="F51" i="20"/>
  <c r="G21" i="19"/>
  <c r="J21" i="19"/>
  <c r="H21" i="19"/>
  <c r="L21" i="19"/>
  <c r="F211" i="8"/>
  <c r="F237" i="6"/>
  <c r="F240" i="6"/>
  <c r="F241" i="6"/>
  <c r="F236" i="6"/>
  <c r="F239" i="6"/>
  <c r="G93" i="9"/>
  <c r="G94" i="9"/>
  <c r="F238" i="6"/>
  <c r="P96" i="5"/>
  <c r="H17" i="5"/>
  <c r="C77" i="6"/>
  <c r="G112" i="5"/>
  <c r="G239" i="6"/>
  <c r="O112" i="5"/>
  <c r="O237" i="6"/>
  <c r="L112" i="5"/>
  <c r="L240" i="6"/>
  <c r="H112" i="5"/>
  <c r="I93" i="9"/>
  <c r="I94" i="9"/>
  <c r="G146" i="11"/>
  <c r="P210" i="6"/>
  <c r="I15" i="6"/>
  <c r="E160" i="9"/>
  <c r="H165" i="9"/>
  <c r="G238" i="6"/>
  <c r="G211" i="8"/>
  <c r="G241" i="6"/>
  <c r="L237" i="6"/>
  <c r="H237" i="6"/>
  <c r="H239" i="6"/>
  <c r="H240" i="6"/>
  <c r="H238" i="6"/>
  <c r="H236" i="6"/>
  <c r="H241" i="6"/>
  <c r="K112" i="5"/>
  <c r="L93" i="9"/>
  <c r="J112" i="5"/>
  <c r="K93" i="9"/>
  <c r="K94" i="9"/>
  <c r="I146" i="11"/>
  <c r="I112" i="5"/>
  <c r="I240" i="6"/>
  <c r="N112" i="5"/>
  <c r="O93" i="9"/>
  <c r="M112" i="5"/>
  <c r="M241" i="6"/>
  <c r="G147" i="11"/>
  <c r="I160" i="9"/>
  <c r="K238" i="6"/>
  <c r="K240" i="6"/>
  <c r="J240" i="6"/>
  <c r="J239" i="6"/>
  <c r="J211" i="8"/>
  <c r="J236" i="6"/>
  <c r="J241" i="6"/>
  <c r="J237" i="6"/>
  <c r="I239" i="6"/>
  <c r="N236" i="6"/>
  <c r="M160" i="9"/>
  <c r="K147" i="11"/>
  <c r="P93" i="9"/>
  <c r="O239" i="6"/>
  <c r="O238" i="6"/>
  <c r="O240" i="6"/>
  <c r="E112" i="5"/>
  <c r="P92" i="5"/>
  <c r="H13" i="5"/>
  <c r="C75" i="6"/>
  <c r="H242" i="6"/>
  <c r="G127" i="11"/>
  <c r="G240" i="6"/>
  <c r="G237" i="6"/>
  <c r="G236" i="6"/>
  <c r="P219" i="6"/>
  <c r="I24" i="6"/>
  <c r="P243" i="6"/>
  <c r="K35" i="6"/>
  <c r="P68" i="5"/>
  <c r="F15" i="5"/>
  <c r="C61" i="6"/>
  <c r="M86" i="5"/>
  <c r="M179" i="6"/>
  <c r="M178" i="6"/>
  <c r="I86" i="5"/>
  <c r="F86" i="5"/>
  <c r="N86" i="5"/>
  <c r="N181" i="6"/>
  <c r="J86" i="5"/>
  <c r="J180" i="6"/>
  <c r="G86" i="5"/>
  <c r="E86" i="5"/>
  <c r="E181" i="6"/>
  <c r="O86" i="5"/>
  <c r="O181" i="6"/>
  <c r="K86" i="5"/>
  <c r="K182" i="6"/>
  <c r="L86" i="5"/>
  <c r="L181" i="6"/>
  <c r="M182" i="6"/>
  <c r="N73" i="9"/>
  <c r="I180" i="6"/>
  <c r="I133" i="8"/>
  <c r="I182" i="6"/>
  <c r="I183" i="6"/>
  <c r="I179" i="6"/>
  <c r="I178" i="6"/>
  <c r="I181" i="6"/>
  <c r="J73" i="9"/>
  <c r="J178" i="6"/>
  <c r="J179" i="6"/>
  <c r="J183" i="6"/>
  <c r="J133" i="8"/>
  <c r="J182" i="6"/>
  <c r="K73" i="9"/>
  <c r="K74" i="9"/>
  <c r="I110" i="11"/>
  <c r="G181" i="6"/>
  <c r="G182" i="6"/>
  <c r="O183" i="6"/>
  <c r="O133" i="8"/>
  <c r="P73" i="9"/>
  <c r="O182" i="6"/>
  <c r="K178" i="6"/>
  <c r="K183" i="6"/>
  <c r="K180" i="6"/>
  <c r="L180" i="6"/>
  <c r="L183" i="6"/>
  <c r="M73" i="9"/>
  <c r="L179" i="6"/>
  <c r="L178" i="6"/>
  <c r="D86" i="5"/>
  <c r="P66" i="5"/>
  <c r="F13" i="5"/>
  <c r="C60" i="6"/>
  <c r="P185" i="6"/>
  <c r="H35" i="6"/>
  <c r="J85" i="5"/>
  <c r="O58" i="9"/>
  <c r="N63" i="9"/>
  <c r="L74" i="11"/>
  <c r="I75" i="11"/>
  <c r="K118" i="9"/>
  <c r="Q238" i="8"/>
  <c r="E239" i="8"/>
  <c r="D140" i="11" s="1"/>
  <c r="B164" i="6"/>
  <c r="B60" i="6"/>
  <c r="B92" i="6"/>
  <c r="B133" i="6"/>
  <c r="B191" i="6"/>
  <c r="B250" i="6"/>
  <c r="C234" i="26"/>
  <c r="C79" i="24"/>
  <c r="C71" i="20"/>
  <c r="B150" i="6"/>
  <c r="B75" i="6"/>
  <c r="B156" i="26"/>
  <c r="B93" i="26"/>
  <c r="L239" i="8"/>
  <c r="K140" i="11"/>
  <c r="B106" i="6"/>
  <c r="N250" i="6"/>
  <c r="E250" i="6"/>
  <c r="L250" i="6"/>
  <c r="D250" i="6"/>
  <c r="C250" i="6"/>
  <c r="G250" i="6"/>
  <c r="F250" i="6"/>
  <c r="J250" i="6"/>
  <c r="M250" i="6"/>
  <c r="K250" i="6"/>
  <c r="I250" i="6"/>
  <c r="H250" i="6"/>
  <c r="F54" i="11"/>
  <c r="G118" i="6"/>
  <c r="H58" i="8"/>
  <c r="L37" i="23"/>
  <c r="K36" i="23"/>
  <c r="C36" i="23"/>
  <c r="D49" i="11"/>
  <c r="N91" i="23"/>
  <c r="E20" i="23"/>
  <c r="L36" i="23"/>
  <c r="K35" i="23"/>
  <c r="C35" i="23"/>
  <c r="C49" i="11"/>
  <c r="K37" i="23"/>
  <c r="C37" i="23" s="1"/>
  <c r="E49" i="11" s="1"/>
  <c r="I140" i="6"/>
  <c r="L140" i="6"/>
  <c r="N140" i="6"/>
  <c r="G140" i="6"/>
  <c r="D140" i="6"/>
  <c r="J140" i="6"/>
  <c r="K140" i="6"/>
  <c r="M140" i="6"/>
  <c r="E140" i="6"/>
  <c r="H140" i="6"/>
  <c r="I74" i="11"/>
  <c r="K55" i="9"/>
  <c r="B87" i="52"/>
  <c r="I86" i="52"/>
  <c r="C86" i="52"/>
  <c r="J86" i="52"/>
  <c r="H86" i="52"/>
  <c r="F86" i="52"/>
  <c r="D86" i="52"/>
  <c r="F104" i="20"/>
  <c r="D121" i="24"/>
  <c r="H88" i="8"/>
  <c r="F58" i="11"/>
  <c r="O249" i="6"/>
  <c r="R115" i="24"/>
  <c r="R116" i="24"/>
  <c r="O132" i="6"/>
  <c r="P138" i="6"/>
  <c r="Q114" i="24"/>
  <c r="O190" i="6"/>
  <c r="P115" i="24"/>
  <c r="Q116" i="24"/>
  <c r="R114" i="24"/>
  <c r="P66" i="20"/>
  <c r="Q115" i="24"/>
  <c r="P114" i="24"/>
  <c r="P116" i="24"/>
  <c r="K38" i="23"/>
  <c r="C38" i="23"/>
  <c r="F49" i="11"/>
  <c r="C50" i="11"/>
  <c r="P117" i="6"/>
  <c r="D24" i="6"/>
  <c r="L118" i="9"/>
  <c r="L126" i="9"/>
  <c r="D87" i="52"/>
  <c r="L88" i="8"/>
  <c r="R88" i="8" s="1"/>
  <c r="L105" i="8"/>
  <c r="D58" i="11"/>
  <c r="J103" i="8"/>
  <c r="P100" i="6"/>
  <c r="C21" i="6"/>
  <c r="E21" i="6"/>
  <c r="H116" i="6"/>
  <c r="H35" i="23"/>
  <c r="F56" i="84"/>
  <c r="L35" i="23"/>
  <c r="I102" i="6"/>
  <c r="I85" i="52"/>
  <c r="K85" i="52"/>
  <c r="F129" i="9"/>
  <c r="O254" i="6"/>
  <c r="G53" i="8"/>
  <c r="P112" i="6"/>
  <c r="D19" i="6"/>
  <c r="E19" i="6"/>
  <c r="O102" i="6"/>
  <c r="H102" i="6"/>
  <c r="I116" i="9"/>
  <c r="I117" i="9"/>
  <c r="G75" i="11"/>
  <c r="N102" i="6"/>
  <c r="N116" i="6"/>
  <c r="P101" i="6"/>
  <c r="C22" i="6"/>
  <c r="P95" i="6"/>
  <c r="C16" i="6"/>
  <c r="P109" i="6"/>
  <c r="D16" i="6"/>
  <c r="AZ148" i="23"/>
  <c r="AZ229" i="23"/>
  <c r="H54" i="9"/>
  <c r="F74" i="11"/>
  <c r="AX166" i="23"/>
  <c r="AZ166" i="23"/>
  <c r="AX126" i="23"/>
  <c r="AZ126" i="23"/>
  <c r="L167" i="9"/>
  <c r="AX147" i="23"/>
  <c r="N260" i="8"/>
  <c r="F103" i="8"/>
  <c r="D59" i="11"/>
  <c r="N62" i="9"/>
  <c r="N57" i="9"/>
  <c r="N61" i="9"/>
  <c r="P59" i="9"/>
  <c r="N64" i="9"/>
  <c r="AX217" i="23"/>
  <c r="AZ119" i="23"/>
  <c r="AX119" i="23"/>
  <c r="AX212" i="23"/>
  <c r="AX214" i="23"/>
  <c r="AZ214" i="23"/>
  <c r="AZ156" i="23"/>
  <c r="AX156" i="23"/>
  <c r="AZ181" i="23"/>
  <c r="AX181" i="23"/>
  <c r="M147" i="11"/>
  <c r="O160" i="9"/>
  <c r="AX179" i="23"/>
  <c r="AZ179" i="23"/>
  <c r="AF180" i="23"/>
  <c r="I162" i="9"/>
  <c r="I167" i="9"/>
  <c r="I166" i="9"/>
  <c r="I168" i="9"/>
  <c r="M54" i="9"/>
  <c r="K74" i="11"/>
  <c r="L176" i="6"/>
  <c r="L138" i="8"/>
  <c r="K90" i="11"/>
  <c r="O251" i="6"/>
  <c r="N68" i="8"/>
  <c r="L148" i="8"/>
  <c r="O148" i="8"/>
  <c r="D148" i="8"/>
  <c r="I148" i="8"/>
  <c r="L68" i="8"/>
  <c r="O68" i="8"/>
  <c r="G148" i="8"/>
  <c r="H148" i="8"/>
  <c r="N148" i="8"/>
  <c r="H68" i="8"/>
  <c r="E148" i="8"/>
  <c r="J68" i="8"/>
  <c r="K148" i="8"/>
  <c r="K68" i="8"/>
  <c r="M68" i="8"/>
  <c r="F68" i="8"/>
  <c r="F148" i="8"/>
  <c r="I68" i="8"/>
  <c r="P68" i="8"/>
  <c r="E68" i="8"/>
  <c r="G68" i="8"/>
  <c r="M148" i="8"/>
  <c r="N95" i="11"/>
  <c r="O182" i="8"/>
  <c r="E95" i="11"/>
  <c r="F182" i="8"/>
  <c r="D40" i="52"/>
  <c r="AC39" i="23"/>
  <c r="Y39" i="23"/>
  <c r="K126" i="9"/>
  <c r="L121" i="9"/>
  <c r="K125" i="9"/>
  <c r="N123" i="9"/>
  <c r="AI110" i="23"/>
  <c r="AS110" i="23"/>
  <c r="AQ110" i="23"/>
  <c r="AN111" i="23"/>
  <c r="AO111" i="23"/>
  <c r="AZ154" i="23"/>
  <c r="AX154" i="23"/>
  <c r="AO228" i="23"/>
  <c r="R94" i="8"/>
  <c r="G101" i="8"/>
  <c r="AZ134" i="23"/>
  <c r="F64" i="9"/>
  <c r="F57" i="9"/>
  <c r="L120" i="9"/>
  <c r="L58" i="8"/>
  <c r="AX205" i="23"/>
  <c r="AZ205" i="23"/>
  <c r="H244" i="6"/>
  <c r="C58" i="11"/>
  <c r="R86" i="8"/>
  <c r="P35" i="23"/>
  <c r="D35" i="23"/>
  <c r="E119" i="8"/>
  <c r="P37" i="23"/>
  <c r="D37" i="23"/>
  <c r="G119" i="8"/>
  <c r="D34" i="23"/>
  <c r="P36" i="23"/>
  <c r="D36" i="23"/>
  <c r="F119" i="8"/>
  <c r="AH184" i="23"/>
  <c r="AF184" i="23"/>
  <c r="E168" i="9"/>
  <c r="C40" i="52"/>
  <c r="T39" i="23"/>
  <c r="K127" i="9"/>
  <c r="M128" i="6"/>
  <c r="N59" i="8"/>
  <c r="K24" i="36"/>
  <c r="AZ193" i="23"/>
  <c r="BB121" i="23"/>
  <c r="AY144" i="23"/>
  <c r="AZ144" i="23" s="1"/>
  <c r="AV156" i="23"/>
  <c r="AW170" i="23"/>
  <c r="AY186" i="23"/>
  <c r="AZ186" i="23"/>
  <c r="BB200" i="23"/>
  <c r="AY137" i="23"/>
  <c r="AZ137" i="23"/>
  <c r="BA149" i="23"/>
  <c r="BB162" i="23"/>
  <c r="AV174" i="23"/>
  <c r="BB186" i="23"/>
  <c r="AV199" i="23"/>
  <c r="AY136" i="23"/>
  <c r="AZ136" i="23"/>
  <c r="AV152" i="23"/>
  <c r="AW164" i="23"/>
  <c r="AY177" i="23"/>
  <c r="AZ177" i="23"/>
  <c r="BB187" i="23"/>
  <c r="AW199" i="23"/>
  <c r="BB136" i="23"/>
  <c r="BB149" i="23"/>
  <c r="AV161" i="23"/>
  <c r="AY175" i="23"/>
  <c r="AZ175" i="23"/>
  <c r="AW187" i="23"/>
  <c r="BB199" i="23"/>
  <c r="AY212" i="23"/>
  <c r="AZ212" i="23"/>
  <c r="BB229" i="23"/>
  <c r="AW135" i="23"/>
  <c r="AV215" i="23"/>
  <c r="AV226" i="23"/>
  <c r="BA120" i="23"/>
  <c r="BA206" i="23"/>
  <c r="BB216" i="23"/>
  <c r="AY116" i="23"/>
  <c r="AZ116" i="23"/>
  <c r="BA128" i="23"/>
  <c r="AW122" i="23"/>
  <c r="BA141" i="23"/>
  <c r="AV154" i="23"/>
  <c r="AY167" i="23"/>
  <c r="BB182" i="23"/>
  <c r="AW197" i="23"/>
  <c r="AV127" i="23"/>
  <c r="AV146" i="23"/>
  <c r="AV159" i="23"/>
  <c r="AY171" i="23"/>
  <c r="AZ171" i="23"/>
  <c r="AW182" i="23"/>
  <c r="BB196" i="23"/>
  <c r="AW130" i="23"/>
  <c r="AW149" i="23"/>
  <c r="BA161" i="23"/>
  <c r="BB174" i="23"/>
  <c r="AW185" i="23"/>
  <c r="AY197" i="23"/>
  <c r="AY120" i="23"/>
  <c r="AZ120" i="23"/>
  <c r="AW146" i="23"/>
  <c r="AW158" i="23"/>
  <c r="BB134" i="23"/>
  <c r="BA147" i="23"/>
  <c r="AY159" i="23"/>
  <c r="AZ159" i="23"/>
  <c r="AW173" i="23"/>
  <c r="BA190" i="23"/>
  <c r="BA203" i="23"/>
  <c r="AY139" i="23"/>
  <c r="AZ139" i="23"/>
  <c r="AW152" i="23"/>
  <c r="AY165" i="23"/>
  <c r="AZ165" i="23"/>
  <c r="BA176" i="23"/>
  <c r="BB190" i="23"/>
  <c r="AY203" i="23"/>
  <c r="BA140" i="23"/>
  <c r="BA155" i="23"/>
  <c r="AV167" i="23"/>
  <c r="AW180" i="23"/>
  <c r="BB189" i="23"/>
  <c r="AW202" i="23"/>
  <c r="BB140" i="23"/>
  <c r="AW151" i="23"/>
  <c r="BA164" i="23"/>
  <c r="BA178" i="23"/>
  <c r="AY189" i="23"/>
  <c r="AZ189" i="23"/>
  <c r="AW203" i="23"/>
  <c r="AY217" i="23"/>
  <c r="AZ217" i="23"/>
  <c r="AY115" i="23"/>
  <c r="AZ115" i="23"/>
  <c r="BA124" i="23"/>
  <c r="AW218" i="23"/>
  <c r="AY228" i="23"/>
  <c r="AZ228" i="23"/>
  <c r="AV134" i="23"/>
  <c r="BA208" i="23"/>
  <c r="BA219" i="23"/>
  <c r="AW114" i="23"/>
  <c r="BA111" i="23"/>
  <c r="AW215" i="23"/>
  <c r="AV116" i="23"/>
  <c r="BB222" i="23"/>
  <c r="AV125" i="23"/>
  <c r="BB221" i="23"/>
  <c r="BA193" i="23"/>
  <c r="BB176" i="23"/>
  <c r="BA159" i="23"/>
  <c r="AV195" i="23"/>
  <c r="BA175" i="23"/>
  <c r="K164" i="9"/>
  <c r="G164" i="9"/>
  <c r="O164" i="9"/>
  <c r="J244" i="8"/>
  <c r="Q242" i="8"/>
  <c r="L94" i="11"/>
  <c r="M168" i="8"/>
  <c r="Q166" i="8"/>
  <c r="AD151" i="23"/>
  <c r="AJ154" i="23"/>
  <c r="AI156" i="23"/>
  <c r="AE161" i="23"/>
  <c r="AG164" i="23"/>
  <c r="AH164" i="23"/>
  <c r="AD167" i="23"/>
  <c r="AD169" i="23"/>
  <c r="AE170" i="23"/>
  <c r="AI180" i="23"/>
  <c r="AG183" i="23"/>
  <c r="AI187" i="23"/>
  <c r="AE188" i="23"/>
  <c r="AD190" i="23"/>
  <c r="AD191" i="23"/>
  <c r="AG194" i="23"/>
  <c r="AH194" i="23"/>
  <c r="AG195" i="23"/>
  <c r="AE197" i="23"/>
  <c r="AD198" i="23"/>
  <c r="AJ199" i="23"/>
  <c r="AE201" i="23"/>
  <c r="AD201" i="23"/>
  <c r="AD202" i="23"/>
  <c r="AD203" i="23"/>
  <c r="AG204" i="23"/>
  <c r="AE205" i="23"/>
  <c r="AG206" i="23"/>
  <c r="AI207" i="23"/>
  <c r="AI208" i="23"/>
  <c r="AJ209" i="23"/>
  <c r="AJ212" i="23"/>
  <c r="AE214" i="23"/>
  <c r="AJ214" i="23"/>
  <c r="AG215" i="23"/>
  <c r="AJ216" i="23"/>
  <c r="AJ217" i="23"/>
  <c r="AG218" i="23"/>
  <c r="AE219" i="23"/>
  <c r="AD220" i="23"/>
  <c r="AG221" i="23"/>
  <c r="AE223" i="23"/>
  <c r="AI223" i="23"/>
  <c r="AE224" i="23"/>
  <c r="AJ225" i="23"/>
  <c r="AG225" i="23"/>
  <c r="AD226" i="23"/>
  <c r="AI227" i="23"/>
  <c r="AG228" i="23"/>
  <c r="AJ229" i="23"/>
  <c r="AI229" i="23"/>
  <c r="AG149" i="23"/>
  <c r="AH149" i="23"/>
  <c r="AD160" i="23"/>
  <c r="AI166" i="23"/>
  <c r="AE167" i="23"/>
  <c r="AG171" i="23"/>
  <c r="AJ173" i="23"/>
  <c r="AG175" i="23"/>
  <c r="AI176" i="23"/>
  <c r="AI182" i="23"/>
  <c r="AJ192" i="23"/>
  <c r="AG193" i="23"/>
  <c r="AE195" i="23"/>
  <c r="AE196" i="23"/>
  <c r="AD197" i="23"/>
  <c r="AE198" i="23"/>
  <c r="AE199" i="23"/>
  <c r="AG200" i="23"/>
  <c r="AJ201" i="23"/>
  <c r="AG202" i="23"/>
  <c r="AJ204" i="23"/>
  <c r="AI205" i="23"/>
  <c r="AE206" i="23"/>
  <c r="AG207" i="23"/>
  <c r="AG208" i="23"/>
  <c r="AE209" i="23"/>
  <c r="AI210" i="23"/>
  <c r="AI211" i="23"/>
  <c r="AI212" i="23"/>
  <c r="AE213" i="23"/>
  <c r="AD214" i="23"/>
  <c r="AD216" i="23"/>
  <c r="AE216" i="23"/>
  <c r="AE217" i="23"/>
  <c r="AG217" i="23"/>
  <c r="AJ218" i="23"/>
  <c r="AI219" i="23"/>
  <c r="AE220" i="23"/>
  <c r="AJ221" i="23"/>
  <c r="AE221" i="23"/>
  <c r="AE222" i="23"/>
  <c r="AJ223" i="23"/>
  <c r="AD223" i="23"/>
  <c r="AJ224" i="23"/>
  <c r="AE225" i="23"/>
  <c r="AE226" i="23"/>
  <c r="AD227" i="23"/>
  <c r="AG227" i="23"/>
  <c r="AJ228" i="23"/>
  <c r="AG229" i="23"/>
  <c r="AD229" i="23"/>
  <c r="AI146" i="23"/>
  <c r="AI148" i="23"/>
  <c r="AE162" i="23"/>
  <c r="AI163" i="23"/>
  <c r="AI165" i="23"/>
  <c r="AI178" i="23"/>
  <c r="AI184" i="23"/>
  <c r="AG185" i="23"/>
  <c r="AI186" i="23"/>
  <c r="AI189" i="23"/>
  <c r="AD195" i="23"/>
  <c r="AG196" i="23"/>
  <c r="AD196" i="23"/>
  <c r="AG197" i="23"/>
  <c r="AJ198" i="23"/>
  <c r="AI199" i="23"/>
  <c r="AI200" i="23"/>
  <c r="AI202" i="23"/>
  <c r="AI203" i="23"/>
  <c r="AE204" i="23"/>
  <c r="AJ205" i="23"/>
  <c r="AD206" i="23"/>
  <c r="AE207" i="23"/>
  <c r="AE208" i="23"/>
  <c r="AH208" i="23" s="1"/>
  <c r="AG209" i="23"/>
  <c r="AD210" i="23"/>
  <c r="AJ211" i="23"/>
  <c r="AE212" i="23"/>
  <c r="AJ213" i="23"/>
  <c r="AD213" i="23"/>
  <c r="AG214" i="23"/>
  <c r="AD215" i="23"/>
  <c r="AI215" i="23"/>
  <c r="AI216" i="23"/>
  <c r="AI217" i="23"/>
  <c r="AI218" i="23"/>
  <c r="AD219" i="23"/>
  <c r="AJ219" i="23"/>
  <c r="AI220" i="23"/>
  <c r="AD221" i="23"/>
  <c r="AJ222" i="23"/>
  <c r="AD222" i="23"/>
  <c r="AI224" i="23"/>
  <c r="AD225" i="23"/>
  <c r="AJ226" i="23"/>
  <c r="AJ227" i="23"/>
  <c r="AI228" i="23"/>
  <c r="AE229" i="23"/>
  <c r="AG172" i="23"/>
  <c r="AJ197" i="23"/>
  <c r="AD199" i="23"/>
  <c r="AE200" i="23"/>
  <c r="AJ206" i="23"/>
  <c r="AJ208" i="23"/>
  <c r="AE211" i="23"/>
  <c r="AG212" i="23"/>
  <c r="AI213" i="23"/>
  <c r="AJ215" i="23"/>
  <c r="AG216" i="23"/>
  <c r="AE218" i="23"/>
  <c r="AG219" i="23"/>
  <c r="AJ220" i="23"/>
  <c r="AG224" i="23"/>
  <c r="AG226" i="23"/>
  <c r="AD228" i="23"/>
  <c r="AD152" i="23"/>
  <c r="AG153" i="23"/>
  <c r="AJ165" i="23"/>
  <c r="AG178" i="23"/>
  <c r="AH178" i="23"/>
  <c r="AI179" i="23"/>
  <c r="AJ196" i="23"/>
  <c r="AJ203" i="23"/>
  <c r="AI204" i="23"/>
  <c r="AJ210" i="23"/>
  <c r="AD212" i="23"/>
  <c r="AE215" i="23"/>
  <c r="AD217" i="23"/>
  <c r="AG222" i="23"/>
  <c r="AG223" i="23"/>
  <c r="AI226" i="23"/>
  <c r="AE227" i="23"/>
  <c r="AH227" i="23"/>
  <c r="AE148" i="23"/>
  <c r="AI195" i="23"/>
  <c r="AJ202" i="23"/>
  <c r="AE203" i="23"/>
  <c r="AF203" i="23"/>
  <c r="AG205" i="23"/>
  <c r="AI209" i="23"/>
  <c r="AI222" i="23"/>
  <c r="AG213" i="23"/>
  <c r="AI214" i="23"/>
  <c r="AG220" i="23"/>
  <c r="AI221" i="23"/>
  <c r="AE210" i="23"/>
  <c r="AD207" i="23"/>
  <c r="AG203" i="23"/>
  <c r="AJ200" i="23"/>
  <c r="AD193" i="23"/>
  <c r="AD186" i="23"/>
  <c r="AJ174" i="23"/>
  <c r="AD159" i="23"/>
  <c r="AE147" i="23"/>
  <c r="AD146" i="23"/>
  <c r="AJ149" i="23"/>
  <c r="AE153" i="23"/>
  <c r="AI155" i="23"/>
  <c r="AJ158" i="23"/>
  <c r="AJ162" i="23"/>
  <c r="AG165" i="23"/>
  <c r="AI168" i="23"/>
  <c r="AE171" i="23"/>
  <c r="AG173" i="23"/>
  <c r="AG176" i="23"/>
  <c r="AG180" i="23"/>
  <c r="AH180" i="23"/>
  <c r="AJ182" i="23"/>
  <c r="AG186" i="23"/>
  <c r="AJ189" i="23"/>
  <c r="AJ193" i="23"/>
  <c r="AG148" i="23"/>
  <c r="AG150" i="23"/>
  <c r="AE152" i="23"/>
  <c r="AE154" i="23"/>
  <c r="AI157" i="23"/>
  <c r="AI160" i="23"/>
  <c r="AJ163" i="23"/>
  <c r="AI198" i="23"/>
  <c r="AD224" i="23"/>
  <c r="AI225" i="23"/>
  <c r="AD200" i="23"/>
  <c r="AG201" i="23"/>
  <c r="AH201" i="23"/>
  <c r="AJ207" i="23"/>
  <c r="AG211" i="23"/>
  <c r="AD208" i="23"/>
  <c r="AJ195" i="23"/>
  <c r="AE181" i="23"/>
  <c r="AG162" i="23"/>
  <c r="AD150" i="23"/>
  <c r="AE146" i="23"/>
  <c r="AI150" i="23"/>
  <c r="AI154" i="23"/>
  <c r="AG157" i="23"/>
  <c r="AE163" i="23"/>
  <c r="AE166" i="23"/>
  <c r="AI170" i="23"/>
  <c r="AG174" i="23"/>
  <c r="AD178" i="23"/>
  <c r="AE182" i="23"/>
  <c r="AE187" i="23"/>
  <c r="AI191" i="23"/>
  <c r="AD147" i="23"/>
  <c r="AJ150" i="23"/>
  <c r="AJ153" i="23"/>
  <c r="AD157" i="23"/>
  <c r="AJ159" i="23"/>
  <c r="AD162" i="23"/>
  <c r="AE165" i="23"/>
  <c r="AE169" i="23"/>
  <c r="AI173" i="23"/>
  <c r="AD176" i="23"/>
  <c r="AD179" i="23"/>
  <c r="AI181" i="23"/>
  <c r="AJ184" i="23"/>
  <c r="AJ187" i="23"/>
  <c r="AG189" i="23"/>
  <c r="AH189" i="23"/>
  <c r="AI192" i="23"/>
  <c r="AG147" i="23"/>
  <c r="AJ151" i="23"/>
  <c r="AE155" i="23"/>
  <c r="AD158" i="23"/>
  <c r="AJ161" i="23"/>
  <c r="AD165" i="23"/>
  <c r="AE168" i="23"/>
  <c r="AE172" i="23"/>
  <c r="AF172" i="23"/>
  <c r="AE176" i="23"/>
  <c r="AG179" i="23"/>
  <c r="AE183" i="23"/>
  <c r="AJ186" i="23"/>
  <c r="AG190" i="23"/>
  <c r="AI193" i="23"/>
  <c r="AD218" i="23"/>
  <c r="AE228" i="23"/>
  <c r="AD111" i="23"/>
  <c r="AD211" i="23"/>
  <c r="AD209" i="23"/>
  <c r="AD204" i="23"/>
  <c r="AG199" i="23"/>
  <c r="AI196" i="23"/>
  <c r="AG187" i="23"/>
  <c r="AD168" i="23"/>
  <c r="AE157" i="23"/>
  <c r="AJ148" i="23"/>
  <c r="AG154" i="23"/>
  <c r="AG156" i="23"/>
  <c r="AD161" i="23"/>
  <c r="AD166" i="23"/>
  <c r="AI169" i="23"/>
  <c r="AE173" i="23"/>
  <c r="AF173" i="23"/>
  <c r="AJ177" i="23"/>
  <c r="AG181" i="23"/>
  <c r="AJ185" i="23"/>
  <c r="AE190" i="23"/>
  <c r="AF190" i="23"/>
  <c r="AJ146" i="23"/>
  <c r="AI149" i="23"/>
  <c r="AI152" i="23"/>
  <c r="AE156" i="23"/>
  <c r="AH156" i="23"/>
  <c r="AI159" i="23"/>
  <c r="AJ168" i="23"/>
  <c r="AG170" i="23"/>
  <c r="AI172" i="23"/>
  <c r="AE175" i="23"/>
  <c r="AJ180" i="23"/>
  <c r="AD183" i="23"/>
  <c r="AE186" i="23"/>
  <c r="AF186" i="23"/>
  <c r="AJ188" i="23"/>
  <c r="AJ191" i="23"/>
  <c r="AG146" i="23"/>
  <c r="AE150" i="23"/>
  <c r="AF150" i="23"/>
  <c r="AD154" i="23"/>
  <c r="AJ157" i="23"/>
  <c r="AI161" i="23"/>
  <c r="AI164" i="23"/>
  <c r="AJ171" i="23"/>
  <c r="AJ175" i="23"/>
  <c r="AJ178" i="23"/>
  <c r="AJ183" i="23"/>
  <c r="AE185" i="23"/>
  <c r="AD189" i="23"/>
  <c r="AD192" i="23"/>
  <c r="AI206" i="23"/>
  <c r="AE202" i="23"/>
  <c r="AG198" i="23"/>
  <c r="AI190" i="23"/>
  <c r="AG177" i="23"/>
  <c r="AH177" i="23"/>
  <c r="AI147" i="23"/>
  <c r="AE151" i="23"/>
  <c r="AG155" i="23"/>
  <c r="AH155" i="23"/>
  <c r="AG159" i="23"/>
  <c r="AJ164" i="23"/>
  <c r="AI167" i="23"/>
  <c r="AI171" i="23"/>
  <c r="AI175" i="23"/>
  <c r="AE179" i="23"/>
  <c r="AI183" i="23"/>
  <c r="AE192" i="23"/>
  <c r="AH192" i="23"/>
  <c r="AI151" i="23"/>
  <c r="AD153" i="23"/>
  <c r="AG158" i="23"/>
  <c r="AH158" i="23"/>
  <c r="AE160" i="23"/>
  <c r="AH160" i="23"/>
  <c r="AD163" i="23"/>
  <c r="AJ166" i="23"/>
  <c r="AG169" i="23"/>
  <c r="AD171" i="23"/>
  <c r="AD174" i="23"/>
  <c r="AD177" i="23"/>
  <c r="AJ179" i="23"/>
  <c r="AD182" i="23"/>
  <c r="AI185" i="23"/>
  <c r="AG188" i="23"/>
  <c r="AJ190" i="23"/>
  <c r="AE193" i="23"/>
  <c r="AF193" i="23"/>
  <c r="AD148" i="23"/>
  <c r="AG152" i="23"/>
  <c r="AD155" i="23"/>
  <c r="AE159" i="23"/>
  <c r="AH159" i="23"/>
  <c r="AI162" i="23"/>
  <c r="AG166" i="23"/>
  <c r="AJ169" i="23"/>
  <c r="AD173" i="23"/>
  <c r="AI177" i="23"/>
  <c r="AD180" i="23"/>
  <c r="AD184" i="23"/>
  <c r="AD187" i="23"/>
  <c r="AG191" i="23"/>
  <c r="AH191" i="23"/>
  <c r="AD194" i="23"/>
  <c r="L38" i="23"/>
  <c r="AX160" i="23"/>
  <c r="AH174" i="23"/>
  <c r="P55" i="9"/>
  <c r="N74" i="11"/>
  <c r="N74" i="9"/>
  <c r="N75" i="9"/>
  <c r="O73" i="9"/>
  <c r="N133" i="8"/>
  <c r="N182" i="6"/>
  <c r="N180" i="6"/>
  <c r="N179" i="6"/>
  <c r="N178" i="6"/>
  <c r="N183" i="6"/>
  <c r="AZ141" i="23"/>
  <c r="H103" i="8"/>
  <c r="F59" i="11"/>
  <c r="O103" i="8"/>
  <c r="M59" i="11"/>
  <c r="G138" i="9"/>
  <c r="G139" i="9"/>
  <c r="P160" i="9"/>
  <c r="L165" i="9"/>
  <c r="M211" i="8"/>
  <c r="M236" i="6"/>
  <c r="F130" i="11"/>
  <c r="G246" i="8"/>
  <c r="G59" i="11"/>
  <c r="I103" i="8"/>
  <c r="I105" i="8"/>
  <c r="D123" i="6"/>
  <c r="D121" i="6"/>
  <c r="I87" i="52"/>
  <c r="F87" i="52"/>
  <c r="E84" i="52"/>
  <c r="E85" i="52"/>
  <c r="G85" i="52"/>
  <c r="D62" i="11"/>
  <c r="E86" i="52"/>
  <c r="J24" i="36"/>
  <c r="M24" i="36"/>
  <c r="B25" i="36"/>
  <c r="G24" i="36"/>
  <c r="C24" i="36" s="1"/>
  <c r="P135" i="6"/>
  <c r="P193" i="6"/>
  <c r="P252" i="6"/>
  <c r="AO154" i="23"/>
  <c r="E241" i="6"/>
  <c r="E236" i="6"/>
  <c r="E238" i="6"/>
  <c r="F93" i="9"/>
  <c r="E237" i="6"/>
  <c r="E211" i="8"/>
  <c r="G180" i="6"/>
  <c r="G133" i="8"/>
  <c r="G179" i="6"/>
  <c r="G178" i="6"/>
  <c r="G183" i="6"/>
  <c r="H73" i="9"/>
  <c r="C163" i="9"/>
  <c r="K94" i="11"/>
  <c r="L168" i="8"/>
  <c r="K59" i="11"/>
  <c r="M103" i="8"/>
  <c r="M105" i="8"/>
  <c r="R79" i="8"/>
  <c r="G81" i="8"/>
  <c r="R97" i="8"/>
  <c r="E101" i="8"/>
  <c r="E103" i="8"/>
  <c r="P141" i="6"/>
  <c r="L14" i="19"/>
  <c r="J14" i="19"/>
  <c r="G14" i="19"/>
  <c r="K158" i="9"/>
  <c r="K159" i="9"/>
  <c r="I147" i="11"/>
  <c r="J220" i="6"/>
  <c r="D116" i="6"/>
  <c r="P106" i="6"/>
  <c r="D13" i="6"/>
  <c r="O116" i="9"/>
  <c r="N104" i="6"/>
  <c r="M54" i="11"/>
  <c r="N118" i="6"/>
  <c r="O58" i="8"/>
  <c r="P92" i="6"/>
  <c r="C13" i="6"/>
  <c r="E102" i="6"/>
  <c r="R78" i="8"/>
  <c r="O136" i="6"/>
  <c r="G102" i="6"/>
  <c r="L116" i="6"/>
  <c r="V93" i="36"/>
  <c r="AA90" i="36"/>
  <c r="I135" i="6"/>
  <c r="K135" i="6"/>
  <c r="F181" i="6"/>
  <c r="F179" i="6"/>
  <c r="D78" i="36"/>
  <c r="D80" i="36"/>
  <c r="D77" i="36"/>
  <c r="D85" i="36"/>
  <c r="I123" i="6"/>
  <c r="I126" i="6"/>
  <c r="O123" i="6"/>
  <c r="O126" i="6"/>
  <c r="J123" i="6"/>
  <c r="J126" i="6"/>
  <c r="K123" i="6"/>
  <c r="K126" i="6"/>
  <c r="L123" i="6"/>
  <c r="L126" i="6"/>
  <c r="P150" i="6"/>
  <c r="F13" i="6"/>
  <c r="H13" i="6"/>
  <c r="L160" i="6"/>
  <c r="P152" i="6"/>
  <c r="F15" i="6"/>
  <c r="K160" i="6"/>
  <c r="AP178" i="23"/>
  <c r="AQ178" i="23"/>
  <c r="AR194" i="23"/>
  <c r="AS196" i="23"/>
  <c r="AS199" i="23"/>
  <c r="AP200" i="23"/>
  <c r="AQ200" i="23"/>
  <c r="AN202" i="23"/>
  <c r="AP213" i="23"/>
  <c r="AQ213" i="23"/>
  <c r="AP217" i="23"/>
  <c r="AQ217" i="23"/>
  <c r="AS219" i="23"/>
  <c r="AM221" i="23"/>
  <c r="AP227" i="23"/>
  <c r="AQ227" i="23"/>
  <c r="AM180" i="23"/>
  <c r="AP195" i="23"/>
  <c r="AQ195" i="23"/>
  <c r="AR198" i="23"/>
  <c r="AS200" i="23"/>
  <c r="AS201" i="23"/>
  <c r="AM202" i="23"/>
  <c r="AM207" i="23"/>
  <c r="AP214" i="23"/>
  <c r="AQ214" i="23"/>
  <c r="AM218" i="23"/>
  <c r="AN224" i="23"/>
  <c r="AR225" i="23"/>
  <c r="AS174" i="23"/>
  <c r="AR181" i="23"/>
  <c r="AM191" i="23"/>
  <c r="AN196" i="23"/>
  <c r="AR203" i="23"/>
  <c r="AM205" i="23"/>
  <c r="AR211" i="23"/>
  <c r="AS212" i="23"/>
  <c r="AM215" i="23"/>
  <c r="AP216" i="23"/>
  <c r="AQ216" i="23"/>
  <c r="AR220" i="23"/>
  <c r="AN223" i="23"/>
  <c r="AQ223" i="23"/>
  <c r="AN226" i="23"/>
  <c r="AS228" i="23"/>
  <c r="AS229" i="23"/>
  <c r="AR166" i="23"/>
  <c r="AR167" i="23"/>
  <c r="AR204" i="23"/>
  <c r="AN208" i="23"/>
  <c r="AM111" i="23"/>
  <c r="AR197" i="23"/>
  <c r="AS206" i="23"/>
  <c r="AS220" i="23"/>
  <c r="AS224" i="23"/>
  <c r="AP228" i="23"/>
  <c r="AQ228" i="23"/>
  <c r="AS193" i="23"/>
  <c r="AN210" i="23"/>
  <c r="J249" i="8"/>
  <c r="J180" i="8"/>
  <c r="P223" i="6"/>
  <c r="J14" i="6"/>
  <c r="G232" i="6"/>
  <c r="F126" i="11"/>
  <c r="P208" i="6"/>
  <c r="I13" i="6"/>
  <c r="K13" i="6"/>
  <c r="G218" i="6"/>
  <c r="E232" i="6"/>
  <c r="P224" i="6"/>
  <c r="J15" i="6"/>
  <c r="K15" i="6"/>
  <c r="P209" i="6"/>
  <c r="I14" i="6"/>
  <c r="E218" i="6"/>
  <c r="J29" i="19"/>
  <c r="C36" i="19"/>
  <c r="L29" i="19"/>
  <c r="J28" i="6"/>
  <c r="I236" i="6"/>
  <c r="O236" i="6"/>
  <c r="P225" i="6"/>
  <c r="J16" i="6"/>
  <c r="K16" i="6"/>
  <c r="D232" i="6"/>
  <c r="F140" i="6"/>
  <c r="C140" i="6"/>
  <c r="T239" i="26"/>
  <c r="N138" i="6"/>
  <c r="F76" i="20"/>
  <c r="D84" i="24"/>
  <c r="V239" i="26"/>
  <c r="U239" i="26"/>
  <c r="G196" i="6"/>
  <c r="L236" i="6"/>
  <c r="H272" i="8"/>
  <c r="D95" i="11"/>
  <c r="N94" i="11"/>
  <c r="M160" i="6"/>
  <c r="K174" i="6"/>
  <c r="P231" i="6"/>
  <c r="J22" i="6"/>
  <c r="F218" i="6"/>
  <c r="P233" i="6"/>
  <c r="J24" i="6"/>
  <c r="K24" i="6"/>
  <c r="P228" i="6"/>
  <c r="J19" i="6"/>
  <c r="P217" i="6"/>
  <c r="I22" i="6"/>
  <c r="P213" i="6"/>
  <c r="I18" i="6"/>
  <c r="O137" i="9"/>
  <c r="O138" i="9"/>
  <c r="M111" i="11"/>
  <c r="N162" i="6"/>
  <c r="V18" i="25"/>
  <c r="T18" i="25"/>
  <c r="V16" i="25"/>
  <c r="T16" i="25"/>
  <c r="F124" i="6"/>
  <c r="F122" i="6"/>
  <c r="P122" i="6"/>
  <c r="E30" i="6"/>
  <c r="F120" i="6"/>
  <c r="G53" i="9"/>
  <c r="G54" i="9"/>
  <c r="F125" i="6"/>
  <c r="P125" i="6"/>
  <c r="E33" i="6"/>
  <c r="E168" i="8"/>
  <c r="D94" i="11"/>
  <c r="K95" i="11"/>
  <c r="L182" i="8"/>
  <c r="C198" i="8"/>
  <c r="C276" i="8"/>
  <c r="C270" i="8"/>
  <c r="C192" i="8"/>
  <c r="C256" i="8"/>
  <c r="C178" i="8"/>
  <c r="C168" i="8"/>
  <c r="C246" i="8"/>
  <c r="C236" i="8"/>
  <c r="C158" i="8"/>
  <c r="V77" i="36"/>
  <c r="V79" i="36"/>
  <c r="V80" i="36"/>
  <c r="V85" i="36"/>
  <c r="B178" i="6"/>
  <c r="B120" i="6"/>
  <c r="B236" i="6"/>
  <c r="E85" i="5"/>
  <c r="P67" i="5"/>
  <c r="F14" i="5"/>
  <c r="L257" i="8"/>
  <c r="Q179" i="8"/>
  <c r="O85" i="5"/>
  <c r="N85" i="5"/>
  <c r="L85" i="5"/>
  <c r="K85" i="5"/>
  <c r="I85" i="5"/>
  <c r="H85" i="5"/>
  <c r="P85" i="5" s="1"/>
  <c r="F32" i="5" s="1"/>
  <c r="N111" i="5"/>
  <c r="L111" i="5"/>
  <c r="K111" i="5"/>
  <c r="G111" i="5"/>
  <c r="F111" i="5"/>
  <c r="P105" i="5"/>
  <c r="H26" i="5"/>
  <c r="E111" i="5"/>
  <c r="P109" i="5"/>
  <c r="H30" i="5"/>
  <c r="P93" i="5"/>
  <c r="H14" i="5"/>
  <c r="M218" i="6"/>
  <c r="K141" i="6"/>
  <c r="M141" i="6"/>
  <c r="C141" i="6"/>
  <c r="N141" i="6"/>
  <c r="I141" i="6"/>
  <c r="G141" i="6"/>
  <c r="D141" i="6"/>
  <c r="H141" i="6"/>
  <c r="J141" i="6"/>
  <c r="F116" i="6"/>
  <c r="P110" i="6"/>
  <c r="D17" i="6"/>
  <c r="E17" i="6"/>
  <c r="Q85" i="36"/>
  <c r="O85" i="36"/>
  <c r="L24" i="36"/>
  <c r="E24" i="36"/>
  <c r="C27" i="25"/>
  <c r="K75" i="9"/>
  <c r="O180" i="6"/>
  <c r="L211" i="8"/>
  <c r="R114" i="8"/>
  <c r="H95" i="11"/>
  <c r="L55" i="9"/>
  <c r="N126" i="6"/>
  <c r="M116" i="6"/>
  <c r="P93" i="6"/>
  <c r="C14" i="6"/>
  <c r="E14" i="6"/>
  <c r="P94" i="6"/>
  <c r="C15" i="6"/>
  <c r="E15" i="6"/>
  <c r="L102" i="6"/>
  <c r="J116" i="6"/>
  <c r="C146" i="8"/>
  <c r="C224" i="8"/>
  <c r="B135" i="26"/>
  <c r="C241" i="26"/>
  <c r="C86" i="24"/>
  <c r="C78" i="20"/>
  <c r="B26" i="5"/>
  <c r="B53" i="5"/>
  <c r="B79" i="5"/>
  <c r="B105" i="5"/>
  <c r="B198" i="26"/>
  <c r="K236" i="8"/>
  <c r="K161" i="8"/>
  <c r="J104" i="11" s="1"/>
  <c r="S17" i="25"/>
  <c r="U17" i="25"/>
  <c r="V17" i="25"/>
  <c r="T243" i="26"/>
  <c r="V243" i="26"/>
  <c r="U243" i="26"/>
  <c r="R243" i="26"/>
  <c r="S243" i="26"/>
  <c r="P142" i="6"/>
  <c r="R237" i="26"/>
  <c r="S237" i="26"/>
  <c r="P136" i="6"/>
  <c r="V237" i="26"/>
  <c r="F74" i="20"/>
  <c r="U237" i="26"/>
  <c r="P46" i="5"/>
  <c r="D19" i="5"/>
  <c r="C48" i="6"/>
  <c r="K81" i="8"/>
  <c r="K105" i="8" s="1"/>
  <c r="P127" i="6"/>
  <c r="E35" i="6"/>
  <c r="P78" i="5"/>
  <c r="F25" i="5"/>
  <c r="C66" i="6"/>
  <c r="P70" i="5"/>
  <c r="F17" i="5"/>
  <c r="C62" i="6"/>
  <c r="E272" i="8"/>
  <c r="D112" i="5"/>
  <c r="F137" i="6"/>
  <c r="G137" i="6"/>
  <c r="L137" i="6"/>
  <c r="K137" i="6"/>
  <c r="N137" i="6"/>
  <c r="I137" i="6"/>
  <c r="E137" i="6"/>
  <c r="H137" i="6"/>
  <c r="M137" i="6"/>
  <c r="C137" i="6"/>
  <c r="O137" i="6"/>
  <c r="M133" i="6"/>
  <c r="N133" i="6"/>
  <c r="H191" i="6"/>
  <c r="L191" i="6"/>
  <c r="O191" i="6"/>
  <c r="B183" i="6"/>
  <c r="B241" i="6"/>
  <c r="B125" i="6"/>
  <c r="B162" i="26"/>
  <c r="C80" i="24"/>
  <c r="C72" i="20"/>
  <c r="B14" i="5"/>
  <c r="B41" i="5"/>
  <c r="B67" i="5"/>
  <c r="B93" i="5"/>
  <c r="B14" i="6"/>
  <c r="B99" i="26"/>
  <c r="C235" i="26"/>
  <c r="G13" i="52"/>
  <c r="C17" i="52"/>
  <c r="D137" i="52"/>
  <c r="M103" i="23"/>
  <c r="M104" i="23"/>
  <c r="M98" i="23"/>
  <c r="I238" i="6"/>
  <c r="J30" i="6"/>
  <c r="P94" i="5"/>
  <c r="H15" i="5"/>
  <c r="C76" i="6"/>
  <c r="P155" i="6"/>
  <c r="F18" i="6"/>
  <c r="M239" i="8"/>
  <c r="L140" i="11" s="1"/>
  <c r="M197" i="6"/>
  <c r="J197" i="6"/>
  <c r="C197" i="6"/>
  <c r="I197" i="6"/>
  <c r="D197" i="6"/>
  <c r="N197" i="6"/>
  <c r="E197" i="6"/>
  <c r="F197" i="6"/>
  <c r="K197" i="6"/>
  <c r="C148" i="8"/>
  <c r="C226" i="8"/>
  <c r="J194" i="8"/>
  <c r="J271" i="8"/>
  <c r="R240" i="26"/>
  <c r="S240" i="26"/>
  <c r="P139" i="6"/>
  <c r="T240" i="26"/>
  <c r="F77" i="20"/>
  <c r="V240" i="26"/>
  <c r="D36" i="6"/>
  <c r="E49" i="6" s="1"/>
  <c r="G49" i="6" s="1"/>
  <c r="Q245" i="8"/>
  <c r="H81" i="8"/>
  <c r="H105" i="8" s="1"/>
  <c r="P81" i="8"/>
  <c r="P105" i="8" s="1"/>
  <c r="N81" i="8"/>
  <c r="L68" i="11" s="1"/>
  <c r="F131" i="11"/>
  <c r="G260" i="8"/>
  <c r="H131" i="11"/>
  <c r="I260" i="8"/>
  <c r="O260" i="8"/>
  <c r="N131" i="11"/>
  <c r="H260" i="8"/>
  <c r="G131" i="11"/>
  <c r="F260" i="8"/>
  <c r="E131" i="11"/>
  <c r="G110" i="23"/>
  <c r="D111" i="23"/>
  <c r="E111" i="23"/>
  <c r="I110" i="23"/>
  <c r="C10" i="11"/>
  <c r="F92" i="20"/>
  <c r="C17" i="10"/>
  <c r="C14" i="16"/>
  <c r="F53" i="20"/>
  <c r="F17" i="20"/>
  <c r="F46" i="20"/>
  <c r="N241" i="6"/>
  <c r="N239" i="6"/>
  <c r="K211" i="8"/>
  <c r="M93" i="9"/>
  <c r="H93" i="9"/>
  <c r="H94" i="9"/>
  <c r="F146" i="11"/>
  <c r="F242" i="6"/>
  <c r="K241" i="6"/>
  <c r="K237" i="6"/>
  <c r="G95" i="9"/>
  <c r="E146" i="11"/>
  <c r="N211" i="8"/>
  <c r="K239" i="6"/>
  <c r="N238" i="6"/>
  <c r="I237" i="6"/>
  <c r="K236" i="6"/>
  <c r="K242" i="6"/>
  <c r="G242" i="6"/>
  <c r="I211" i="8"/>
  <c r="J93" i="9"/>
  <c r="J94" i="9"/>
  <c r="H146" i="11"/>
  <c r="I241" i="6"/>
  <c r="M162" i="9"/>
  <c r="M167" i="9"/>
  <c r="P165" i="9"/>
  <c r="M166" i="9"/>
  <c r="M168" i="9"/>
  <c r="L94" i="9"/>
  <c r="E240" i="6"/>
  <c r="E239" i="6"/>
  <c r="E242" i="6"/>
  <c r="P94" i="9"/>
  <c r="N146" i="11"/>
  <c r="L73" i="9"/>
  <c r="O179" i="6"/>
  <c r="E182" i="6"/>
  <c r="E183" i="6"/>
  <c r="J181" i="6"/>
  <c r="J184" i="6"/>
  <c r="M133" i="8"/>
  <c r="E133" i="8"/>
  <c r="E180" i="6"/>
  <c r="G73" i="9"/>
  <c r="G74" i="9"/>
  <c r="F178" i="6"/>
  <c r="F183" i="6"/>
  <c r="F133" i="8"/>
  <c r="F180" i="6"/>
  <c r="F182" i="6"/>
  <c r="D183" i="6"/>
  <c r="D181" i="6"/>
  <c r="D180" i="6"/>
  <c r="E73" i="9"/>
  <c r="E74" i="9"/>
  <c r="C110" i="11"/>
  <c r="D133" i="8"/>
  <c r="D178" i="6"/>
  <c r="D182" i="6"/>
  <c r="D179" i="6"/>
  <c r="M74" i="9"/>
  <c r="K110" i="11"/>
  <c r="P74" i="9"/>
  <c r="N110" i="11"/>
  <c r="J74" i="9"/>
  <c r="J75" i="9" s="1"/>
  <c r="H110" i="11"/>
  <c r="K120" i="9"/>
  <c r="M122" i="9"/>
  <c r="K124" i="9"/>
  <c r="H118" i="6"/>
  <c r="I58" i="8"/>
  <c r="G54" i="11"/>
  <c r="H55" i="9"/>
  <c r="J59" i="9"/>
  <c r="I104" i="6"/>
  <c r="J57" i="8"/>
  <c r="J116" i="9"/>
  <c r="L124" i="9"/>
  <c r="N122" i="9"/>
  <c r="M121" i="9"/>
  <c r="L125" i="9"/>
  <c r="L127" i="9"/>
  <c r="O123" i="9"/>
  <c r="F21" i="23"/>
  <c r="E21" i="23"/>
  <c r="F22" i="23"/>
  <c r="E22" i="23"/>
  <c r="D21" i="23"/>
  <c r="P116" i="9"/>
  <c r="O104" i="6"/>
  <c r="P57" i="8"/>
  <c r="K63" i="9"/>
  <c r="K62" i="9"/>
  <c r="K64" i="9"/>
  <c r="K61" i="9"/>
  <c r="K57" i="9"/>
  <c r="L58" i="9"/>
  <c r="N60" i="9"/>
  <c r="M59" i="9"/>
  <c r="D20" i="23"/>
  <c r="O250" i="6"/>
  <c r="C87" i="52"/>
  <c r="C84" i="52"/>
  <c r="J87" i="52"/>
  <c r="H87" i="52"/>
  <c r="K87" i="52"/>
  <c r="H129" i="9"/>
  <c r="B88" i="52"/>
  <c r="E87" i="52"/>
  <c r="G87" i="52"/>
  <c r="F62" i="11"/>
  <c r="P117" i="24"/>
  <c r="R117" i="24"/>
  <c r="Q117" i="24"/>
  <c r="K86" i="52"/>
  <c r="G129" i="9"/>
  <c r="F20" i="23"/>
  <c r="C20" i="23"/>
  <c r="K142" i="6"/>
  <c r="M142" i="6"/>
  <c r="F142" i="6"/>
  <c r="I142" i="6"/>
  <c r="N142" i="6"/>
  <c r="C142" i="6"/>
  <c r="H142" i="6"/>
  <c r="E142" i="6"/>
  <c r="L142" i="6"/>
  <c r="J142" i="6"/>
  <c r="D142" i="6"/>
  <c r="G142" i="6"/>
  <c r="I95" i="11"/>
  <c r="J182" i="8"/>
  <c r="J184" i="8"/>
  <c r="AO208" i="23"/>
  <c r="AQ208" i="23"/>
  <c r="E85" i="36"/>
  <c r="H24" i="36"/>
  <c r="D24" i="36"/>
  <c r="G85" i="36"/>
  <c r="D86" i="36"/>
  <c r="O135" i="6"/>
  <c r="G146" i="9"/>
  <c r="I143" i="9"/>
  <c r="J144" i="9"/>
  <c r="G147" i="9"/>
  <c r="G145" i="9"/>
  <c r="H142" i="9"/>
  <c r="G141" i="9"/>
  <c r="G148" i="9"/>
  <c r="AH151" i="23"/>
  <c r="AF151" i="23"/>
  <c r="AF166" i="23"/>
  <c r="AH166" i="23"/>
  <c r="AH218" i="23"/>
  <c r="AF218" i="23"/>
  <c r="AF208" i="23"/>
  <c r="AF214" i="23"/>
  <c r="AH214" i="23"/>
  <c r="AZ180" i="23"/>
  <c r="AX180" i="23"/>
  <c r="I139" i="6"/>
  <c r="G139" i="6"/>
  <c r="C139" i="6"/>
  <c r="M139" i="6"/>
  <c r="D139" i="6"/>
  <c r="F139" i="6"/>
  <c r="J139" i="6"/>
  <c r="K139" i="6"/>
  <c r="H139" i="6"/>
  <c r="N139" i="6"/>
  <c r="L139" i="6"/>
  <c r="E139" i="6"/>
  <c r="O133" i="6"/>
  <c r="D123" i="11"/>
  <c r="D253" i="6"/>
  <c r="M253" i="6"/>
  <c r="G253" i="6"/>
  <c r="N253" i="6"/>
  <c r="C253" i="6"/>
  <c r="H253" i="6"/>
  <c r="E253" i="6"/>
  <c r="F253" i="6"/>
  <c r="L253" i="6"/>
  <c r="I253" i="6"/>
  <c r="J253" i="6"/>
  <c r="K253" i="6"/>
  <c r="H259" i="6"/>
  <c r="E259" i="6"/>
  <c r="J259" i="6"/>
  <c r="L61" i="9"/>
  <c r="L57" i="9"/>
  <c r="O60" i="9"/>
  <c r="M58" i="9"/>
  <c r="L63" i="9"/>
  <c r="N59" i="9"/>
  <c r="L62" i="9"/>
  <c r="L64" i="9"/>
  <c r="E54" i="11"/>
  <c r="F118" i="6"/>
  <c r="L258" i="8"/>
  <c r="Q257" i="8"/>
  <c r="W85" i="36"/>
  <c r="Q168" i="8"/>
  <c r="N137" i="8"/>
  <c r="F220" i="6"/>
  <c r="G158" i="9"/>
  <c r="N255" i="6"/>
  <c r="F255" i="6"/>
  <c r="E255" i="6"/>
  <c r="I255" i="6"/>
  <c r="L255" i="6"/>
  <c r="G255" i="6"/>
  <c r="J255" i="6"/>
  <c r="K255" i="6"/>
  <c r="C255" i="6"/>
  <c r="D255" i="6"/>
  <c r="H255" i="6"/>
  <c r="M255" i="6"/>
  <c r="E234" i="6"/>
  <c r="E216" i="8"/>
  <c r="AD35" i="23"/>
  <c r="AE35" i="23"/>
  <c r="AO223" i="23"/>
  <c r="L137" i="9"/>
  <c r="L128" i="6"/>
  <c r="M59" i="8"/>
  <c r="K55" i="11"/>
  <c r="H55" i="11"/>
  <c r="I128" i="6"/>
  <c r="K54" i="11"/>
  <c r="L118" i="6"/>
  <c r="M58" i="8"/>
  <c r="J215" i="8"/>
  <c r="H74" i="9"/>
  <c r="F110" i="11"/>
  <c r="H75" i="9"/>
  <c r="AH193" i="23"/>
  <c r="AF192" i="23"/>
  <c r="AF183" i="23"/>
  <c r="AH183" i="23"/>
  <c r="AH168" i="23"/>
  <c r="AF168" i="23"/>
  <c r="AF155" i="23"/>
  <c r="AF165" i="23"/>
  <c r="AH165" i="23"/>
  <c r="AF187" i="23"/>
  <c r="AH187" i="23"/>
  <c r="AH152" i="23"/>
  <c r="AF152" i="23"/>
  <c r="AH153" i="23"/>
  <c r="AF153" i="23"/>
  <c r="AH203" i="23"/>
  <c r="AH221" i="23"/>
  <c r="AF221" i="23"/>
  <c r="AF198" i="23"/>
  <c r="AH198" i="23"/>
  <c r="AH223" i="23"/>
  <c r="AF223" i="23"/>
  <c r="AF201" i="23"/>
  <c r="AF188" i="23"/>
  <c r="AH188" i="23"/>
  <c r="AF170" i="23"/>
  <c r="AH170" i="23"/>
  <c r="AH161" i="23"/>
  <c r="AF161" i="23"/>
  <c r="I130" i="11"/>
  <c r="J246" i="8"/>
  <c r="AZ114" i="23"/>
  <c r="AX114" i="23"/>
  <c r="AX149" i="23"/>
  <c r="AZ149" i="23"/>
  <c r="AZ197" i="23"/>
  <c r="AX197" i="23"/>
  <c r="AZ170" i="23"/>
  <c r="AX170" i="23"/>
  <c r="E50" i="6"/>
  <c r="Q180" i="8"/>
  <c r="F68" i="11"/>
  <c r="AD112" i="23"/>
  <c r="AD113" i="23"/>
  <c r="AD114" i="23"/>
  <c r="AD115" i="23"/>
  <c r="AD116" i="23"/>
  <c r="AD117" i="23"/>
  <c r="AD118" i="23"/>
  <c r="AD119" i="23"/>
  <c r="AD120" i="23"/>
  <c r="AD121" i="23"/>
  <c r="AD122" i="23"/>
  <c r="AD123" i="23"/>
  <c r="AD124" i="23"/>
  <c r="AD125" i="23"/>
  <c r="AD126" i="23"/>
  <c r="AD127" i="23"/>
  <c r="AD128" i="23"/>
  <c r="AD129" i="23"/>
  <c r="AD130" i="23"/>
  <c r="AD131" i="23"/>
  <c r="AD132" i="23"/>
  <c r="AD133" i="23"/>
  <c r="AD134" i="23"/>
  <c r="AD135" i="23"/>
  <c r="AD136" i="23"/>
  <c r="AD137" i="23"/>
  <c r="AD138" i="23"/>
  <c r="AD139" i="23"/>
  <c r="AD140" i="23"/>
  <c r="AD141" i="23"/>
  <c r="AD142" i="23"/>
  <c r="AD143" i="23"/>
  <c r="AD144" i="23"/>
  <c r="AD145" i="23"/>
  <c r="G40" i="52"/>
  <c r="G84" i="52"/>
  <c r="C62" i="11"/>
  <c r="M55" i="9"/>
  <c r="Q236" i="8"/>
  <c r="K239" i="8"/>
  <c r="L54" i="11"/>
  <c r="R85" i="36"/>
  <c r="P85" i="36"/>
  <c r="J128" i="6"/>
  <c r="K59" i="8"/>
  <c r="I55" i="11"/>
  <c r="G123" i="11"/>
  <c r="C126" i="11"/>
  <c r="D234" i="6"/>
  <c r="H158" i="9"/>
  <c r="G220" i="6"/>
  <c r="AO202" i="23"/>
  <c r="AQ202" i="23"/>
  <c r="K128" i="6"/>
  <c r="J55" i="11"/>
  <c r="R101" i="8"/>
  <c r="P166" i="9"/>
  <c r="P162" i="9"/>
  <c r="P168" i="9"/>
  <c r="P167" i="9"/>
  <c r="O74" i="9"/>
  <c r="M110" i="11"/>
  <c r="AH182" i="23"/>
  <c r="AF182" i="23"/>
  <c r="AF181" i="23"/>
  <c r="AH181" i="23"/>
  <c r="AH212" i="23"/>
  <c r="AF212" i="23"/>
  <c r="AH204" i="23"/>
  <c r="AF204" i="23"/>
  <c r="AF206" i="23"/>
  <c r="AH206" i="23"/>
  <c r="AX218" i="23"/>
  <c r="AZ218" i="23"/>
  <c r="AZ158" i="23"/>
  <c r="AX158" i="23"/>
  <c r="AZ130" i="23"/>
  <c r="AX130" i="23"/>
  <c r="AX122" i="23"/>
  <c r="AZ122" i="23"/>
  <c r="AZ187" i="23"/>
  <c r="AX187" i="23"/>
  <c r="I87" i="11"/>
  <c r="P87" i="11"/>
  <c r="E14" i="11"/>
  <c r="Q194" i="8"/>
  <c r="E26" i="8"/>
  <c r="E93" i="9"/>
  <c r="D211" i="8"/>
  <c r="D240" i="6"/>
  <c r="D236" i="6"/>
  <c r="D241" i="6"/>
  <c r="D238" i="6"/>
  <c r="D237" i="6"/>
  <c r="P112" i="5"/>
  <c r="H33" i="5"/>
  <c r="D239" i="6"/>
  <c r="D82" i="24"/>
  <c r="E200" i="6"/>
  <c r="D200" i="6"/>
  <c r="K200" i="6"/>
  <c r="J200" i="6"/>
  <c r="M200" i="6"/>
  <c r="L200" i="6"/>
  <c r="G200" i="6"/>
  <c r="C200" i="6"/>
  <c r="H200" i="6"/>
  <c r="F200" i="6"/>
  <c r="N200" i="6"/>
  <c r="I200" i="6"/>
  <c r="N128" i="6"/>
  <c r="O59" i="8"/>
  <c r="M55" i="11"/>
  <c r="K82" i="9"/>
  <c r="L78" i="9"/>
  <c r="M220" i="6"/>
  <c r="N158" i="9"/>
  <c r="P120" i="6"/>
  <c r="E28" i="6"/>
  <c r="M162" i="6"/>
  <c r="M137" i="8"/>
  <c r="N137" i="9"/>
  <c r="C196" i="6"/>
  <c r="M196" i="6"/>
  <c r="H196" i="6"/>
  <c r="I196" i="6"/>
  <c r="F196" i="6"/>
  <c r="C26" i="19"/>
  <c r="C38" i="19"/>
  <c r="G234" i="6"/>
  <c r="G216" i="8"/>
  <c r="AO226" i="23"/>
  <c r="AQ226" i="23"/>
  <c r="W93" i="36"/>
  <c r="Y93" i="36"/>
  <c r="O117" i="9"/>
  <c r="M75" i="11"/>
  <c r="D118" i="6"/>
  <c r="C54" i="11"/>
  <c r="E68" i="11"/>
  <c r="J163" i="9"/>
  <c r="N163" i="9"/>
  <c r="F163" i="9"/>
  <c r="M163" i="9"/>
  <c r="E163" i="9"/>
  <c r="P163" i="9"/>
  <c r="G184" i="6"/>
  <c r="P62" i="9"/>
  <c r="P64" i="9"/>
  <c r="E78" i="9"/>
  <c r="P61" i="9"/>
  <c r="P57" i="9"/>
  <c r="P63" i="9"/>
  <c r="AH150" i="23"/>
  <c r="AH186" i="23"/>
  <c r="AF156" i="23"/>
  <c r="AH190" i="23"/>
  <c r="AH173" i="23"/>
  <c r="AF228" i="23"/>
  <c r="AH228" i="23"/>
  <c r="AH172" i="23"/>
  <c r="AH169" i="23"/>
  <c r="AF169" i="23"/>
  <c r="AF154" i="23"/>
  <c r="AH154" i="23"/>
  <c r="AF147" i="23"/>
  <c r="AH147" i="23"/>
  <c r="AH210" i="23"/>
  <c r="AF210" i="23"/>
  <c r="AF148" i="23"/>
  <c r="AH148" i="23"/>
  <c r="AF225" i="23"/>
  <c r="AH225" i="23"/>
  <c r="AF222" i="23"/>
  <c r="AH222" i="23"/>
  <c r="AF216" i="23"/>
  <c r="AH216" i="23"/>
  <c r="AF199" i="23"/>
  <c r="AH199" i="23"/>
  <c r="AH195" i="23"/>
  <c r="AF195" i="23"/>
  <c r="AF167" i="23"/>
  <c r="AH167" i="23"/>
  <c r="AF219" i="23"/>
  <c r="AH219" i="23"/>
  <c r="AH205" i="23"/>
  <c r="AF205" i="23"/>
  <c r="AF197" i="23"/>
  <c r="AH197" i="23"/>
  <c r="AZ202" i="23"/>
  <c r="AX202" i="23"/>
  <c r="AX182" i="23"/>
  <c r="AZ182" i="23"/>
  <c r="H217" i="8"/>
  <c r="H246" i="6"/>
  <c r="E59" i="11"/>
  <c r="G103" i="8"/>
  <c r="G105" i="8"/>
  <c r="O141" i="6"/>
  <c r="Q148" i="8"/>
  <c r="J118" i="6"/>
  <c r="I54" i="11"/>
  <c r="F158" i="9"/>
  <c r="E220" i="6"/>
  <c r="D126" i="6"/>
  <c r="P121" i="6"/>
  <c r="E29" i="6"/>
  <c r="AF215" i="23"/>
  <c r="AH215" i="23"/>
  <c r="AH200" i="23"/>
  <c r="AF200" i="23"/>
  <c r="AF229" i="23"/>
  <c r="AH229" i="23"/>
  <c r="AX203" i="23"/>
  <c r="AZ203" i="23"/>
  <c r="AX151" i="23"/>
  <c r="AZ151" i="23"/>
  <c r="AZ152" i="23"/>
  <c r="AX152" i="23"/>
  <c r="AX173" i="23"/>
  <c r="AZ173" i="23"/>
  <c r="AX185" i="23"/>
  <c r="AZ185" i="23"/>
  <c r="AX135" i="23"/>
  <c r="AZ135" i="23"/>
  <c r="AZ164" i="23"/>
  <c r="AX164" i="23"/>
  <c r="N256" i="6"/>
  <c r="I256" i="6"/>
  <c r="K256" i="6"/>
  <c r="C256" i="6"/>
  <c r="G256" i="6"/>
  <c r="E256" i="6"/>
  <c r="M256" i="6"/>
  <c r="L256" i="6"/>
  <c r="D256" i="6"/>
  <c r="F256" i="6"/>
  <c r="H256" i="6"/>
  <c r="J256" i="6"/>
  <c r="J272" i="8"/>
  <c r="Q271" i="8"/>
  <c r="B107" i="6"/>
  <c r="B46" i="6"/>
  <c r="B151" i="6"/>
  <c r="B209" i="6"/>
  <c r="B223" i="6"/>
  <c r="B165" i="6"/>
  <c r="B61" i="6"/>
  <c r="B76" i="6"/>
  <c r="B93" i="6"/>
  <c r="B134" i="6"/>
  <c r="B192" i="6"/>
  <c r="B251" i="6"/>
  <c r="J194" i="6"/>
  <c r="C194" i="6"/>
  <c r="D194" i="6"/>
  <c r="E194" i="6"/>
  <c r="K194" i="6"/>
  <c r="N194" i="6"/>
  <c r="L194" i="6"/>
  <c r="M194" i="6"/>
  <c r="G194" i="6"/>
  <c r="I194" i="6"/>
  <c r="F194" i="6"/>
  <c r="H194" i="6"/>
  <c r="M116" i="9"/>
  <c r="L104" i="6"/>
  <c r="G55" i="9"/>
  <c r="Q53" i="9"/>
  <c r="E13" i="9"/>
  <c r="F69" i="8"/>
  <c r="I149" i="8"/>
  <c r="M149" i="8"/>
  <c r="K69" i="8"/>
  <c r="M69" i="8"/>
  <c r="J90" i="11"/>
  <c r="K176" i="6"/>
  <c r="P174" i="6"/>
  <c r="G23" i="6"/>
  <c r="D138" i="6"/>
  <c r="D143" i="6"/>
  <c r="F54" i="8"/>
  <c r="M138" i="6"/>
  <c r="M143" i="6"/>
  <c r="O54" i="8"/>
  <c r="E138" i="6"/>
  <c r="E143" i="6"/>
  <c r="G54" i="8"/>
  <c r="G138" i="6"/>
  <c r="G143" i="6"/>
  <c r="I54" i="8"/>
  <c r="K138" i="6"/>
  <c r="K143" i="6"/>
  <c r="M54" i="8"/>
  <c r="F138" i="6"/>
  <c r="F143" i="6"/>
  <c r="H54" i="8"/>
  <c r="C138" i="6"/>
  <c r="C143" i="6"/>
  <c r="I138" i="6"/>
  <c r="I143" i="6"/>
  <c r="K54" i="8"/>
  <c r="H138" i="6"/>
  <c r="H143" i="6"/>
  <c r="J54" i="8"/>
  <c r="L138" i="6"/>
  <c r="L143" i="6"/>
  <c r="N54" i="8"/>
  <c r="J138" i="6"/>
  <c r="J258" i="8"/>
  <c r="J260" i="8"/>
  <c r="J262" i="8"/>
  <c r="Q249" i="8"/>
  <c r="AO224" i="23"/>
  <c r="AQ224" i="23"/>
  <c r="L162" i="6"/>
  <c r="M137" i="9"/>
  <c r="E104" i="6"/>
  <c r="F57" i="8"/>
  <c r="F116" i="9"/>
  <c r="F117" i="9"/>
  <c r="P102" i="6"/>
  <c r="C23" i="6"/>
  <c r="O57" i="8"/>
  <c r="N130" i="6"/>
  <c r="H14" i="19"/>
  <c r="F94" i="9"/>
  <c r="D146" i="11"/>
  <c r="G25" i="36"/>
  <c r="J25" i="36"/>
  <c r="M25" i="36"/>
  <c r="B26" i="36"/>
  <c r="I25" i="36"/>
  <c r="H25" i="36"/>
  <c r="K25" i="36"/>
  <c r="O25" i="36"/>
  <c r="L25" i="36"/>
  <c r="N25" i="36"/>
  <c r="E111" i="11"/>
  <c r="AF179" i="23"/>
  <c r="AH179" i="23"/>
  <c r="AH202" i="23"/>
  <c r="AF202" i="23"/>
  <c r="AH185" i="23"/>
  <c r="AF185" i="23"/>
  <c r="AH175" i="23"/>
  <c r="AF175" i="23"/>
  <c r="AF157" i="23"/>
  <c r="AH157" i="23"/>
  <c r="AH176" i="23"/>
  <c r="AF176" i="23"/>
  <c r="AF163" i="23"/>
  <c r="AH163" i="23"/>
  <c r="AH146" i="23"/>
  <c r="AF146" i="23"/>
  <c r="AF171" i="23"/>
  <c r="AH171" i="23"/>
  <c r="AH211" i="23"/>
  <c r="AF211" i="23"/>
  <c r="AH207" i="23"/>
  <c r="AF207" i="23"/>
  <c r="AF162" i="23"/>
  <c r="AH162" i="23"/>
  <c r="AF226" i="23"/>
  <c r="AH226" i="23"/>
  <c r="AF220" i="23"/>
  <c r="AH220" i="23"/>
  <c r="AH217" i="23"/>
  <c r="AF217" i="23"/>
  <c r="AF213" i="23"/>
  <c r="AH213" i="23"/>
  <c r="AF209" i="23"/>
  <c r="AH209" i="23"/>
  <c r="AH196" i="23"/>
  <c r="AF196" i="23"/>
  <c r="AH224" i="23"/>
  <c r="AF224" i="23"/>
  <c r="AZ215" i="23"/>
  <c r="AX215" i="23"/>
  <c r="AZ146" i="23"/>
  <c r="AX146" i="23"/>
  <c r="AZ199" i="23"/>
  <c r="AX199" i="23"/>
  <c r="T40" i="23"/>
  <c r="T41" i="23"/>
  <c r="C20" i="11"/>
  <c r="D119" i="8"/>
  <c r="D123" i="8"/>
  <c r="D125" i="8"/>
  <c r="R68" i="8"/>
  <c r="O166" i="9"/>
  <c r="O167" i="9"/>
  <c r="O168" i="9"/>
  <c r="O162" i="9"/>
  <c r="P111" i="5"/>
  <c r="H32" i="5"/>
  <c r="E51" i="6"/>
  <c r="G51" i="6"/>
  <c r="P123" i="6"/>
  <c r="E31" i="6"/>
  <c r="E53" i="6"/>
  <c r="G53" i="6"/>
  <c r="H95" i="9"/>
  <c r="H103" i="9"/>
  <c r="AR111" i="23"/>
  <c r="AP111" i="23"/>
  <c r="AQ111" i="23"/>
  <c r="AN112" i="23"/>
  <c r="AO112" i="23"/>
  <c r="D14" i="16"/>
  <c r="C15" i="16"/>
  <c r="G102" i="9"/>
  <c r="G101" i="9"/>
  <c r="G97" i="9"/>
  <c r="H98" i="9"/>
  <c r="G104" i="9"/>
  <c r="G103" i="9"/>
  <c r="E127" i="11"/>
  <c r="F244" i="6"/>
  <c r="F217" i="8"/>
  <c r="J95" i="9"/>
  <c r="J103" i="9"/>
  <c r="G244" i="6"/>
  <c r="G217" i="8"/>
  <c r="F127" i="11"/>
  <c r="P95" i="9"/>
  <c r="P97" i="9"/>
  <c r="I95" i="9"/>
  <c r="K95" i="9"/>
  <c r="K104" i="9"/>
  <c r="K160" i="9"/>
  <c r="N165" i="9"/>
  <c r="L163" i="9"/>
  <c r="K244" i="6"/>
  <c r="J127" i="11"/>
  <c r="J101" i="9"/>
  <c r="J186" i="6"/>
  <c r="J188" i="6"/>
  <c r="I91" i="11"/>
  <c r="L74" i="9"/>
  <c r="L75" i="9"/>
  <c r="J110" i="11"/>
  <c r="G75" i="9"/>
  <c r="E110" i="11"/>
  <c r="M75" i="9"/>
  <c r="M81" i="9"/>
  <c r="D184" i="6"/>
  <c r="C91" i="11"/>
  <c r="M77" i="9"/>
  <c r="M83" i="9"/>
  <c r="N78" i="9"/>
  <c r="P75" i="9"/>
  <c r="J82" i="9"/>
  <c r="K78" i="9"/>
  <c r="J81" i="9"/>
  <c r="J84" i="9"/>
  <c r="J77" i="9"/>
  <c r="J83" i="9"/>
  <c r="O118" i="9"/>
  <c r="I118" i="9"/>
  <c r="I124" i="9"/>
  <c r="C88" i="52"/>
  <c r="H88" i="52"/>
  <c r="B89" i="52"/>
  <c r="F89" i="52"/>
  <c r="I88" i="52"/>
  <c r="J88" i="52"/>
  <c r="D88" i="52"/>
  <c r="E88" i="52"/>
  <c r="F88" i="52"/>
  <c r="H260" i="6"/>
  <c r="I212" i="8"/>
  <c r="J117" i="9"/>
  <c r="H75" i="11"/>
  <c r="P117" i="9"/>
  <c r="N75" i="11"/>
  <c r="H101" i="9"/>
  <c r="H97" i="9"/>
  <c r="H104" i="9"/>
  <c r="I98" i="9"/>
  <c r="K168" i="9"/>
  <c r="G159" i="9"/>
  <c r="E147" i="11"/>
  <c r="P90" i="11"/>
  <c r="E17" i="11"/>
  <c r="F91" i="11"/>
  <c r="G186" i="6"/>
  <c r="L137" i="8"/>
  <c r="K138" i="8"/>
  <c r="P176" i="6"/>
  <c r="G25" i="6"/>
  <c r="E74" i="11"/>
  <c r="Q54" i="9"/>
  <c r="M57" i="8"/>
  <c r="L130" i="6"/>
  <c r="I123" i="11"/>
  <c r="E215" i="8"/>
  <c r="E58" i="8"/>
  <c r="P236" i="6"/>
  <c r="K28" i="6"/>
  <c r="D242" i="6"/>
  <c r="R103" i="8"/>
  <c r="D216" i="8"/>
  <c r="N83" i="9"/>
  <c r="N84" i="9"/>
  <c r="N82" i="9"/>
  <c r="O78" i="9"/>
  <c r="N77" i="9"/>
  <c r="N81" i="9"/>
  <c r="L123" i="9"/>
  <c r="J59" i="8"/>
  <c r="I130" i="6"/>
  <c r="F215" i="8"/>
  <c r="K131" i="11"/>
  <c r="L260" i="8"/>
  <c r="L262" i="8"/>
  <c r="O253" i="6"/>
  <c r="O138" i="6"/>
  <c r="O256" i="6"/>
  <c r="Q182" i="8"/>
  <c r="D25" i="36"/>
  <c r="F120" i="8"/>
  <c r="I35" i="23"/>
  <c r="O75" i="9"/>
  <c r="AF35" i="23"/>
  <c r="M138" i="9"/>
  <c r="K111" i="11"/>
  <c r="J60" i="9"/>
  <c r="H58" i="9"/>
  <c r="G64" i="9"/>
  <c r="G57" i="9"/>
  <c r="G61" i="9"/>
  <c r="I59" i="9"/>
  <c r="G62" i="9"/>
  <c r="G63" i="9"/>
  <c r="K58" i="8"/>
  <c r="K60" i="8"/>
  <c r="K63" i="8"/>
  <c r="J130" i="6"/>
  <c r="E94" i="9"/>
  <c r="E95" i="9"/>
  <c r="E102" i="9"/>
  <c r="H84" i="9"/>
  <c r="H77" i="9"/>
  <c r="I78" i="9"/>
  <c r="H82" i="9"/>
  <c r="H81" i="9"/>
  <c r="H83" i="9"/>
  <c r="G26" i="36"/>
  <c r="B27" i="36"/>
  <c r="M26" i="36"/>
  <c r="O26" i="36"/>
  <c r="J26" i="36"/>
  <c r="I26" i="36"/>
  <c r="N26" i="36"/>
  <c r="H26" i="36"/>
  <c r="K26" i="36"/>
  <c r="D26" i="36" s="1"/>
  <c r="G120" i="8" s="1"/>
  <c r="L26" i="36"/>
  <c r="I131" i="11"/>
  <c r="C55" i="11"/>
  <c r="D128" i="6"/>
  <c r="D130" i="6"/>
  <c r="P54" i="11"/>
  <c r="D17" i="11"/>
  <c r="M215" i="8"/>
  <c r="L59" i="8"/>
  <c r="K130" i="6"/>
  <c r="H159" i="9"/>
  <c r="F147" i="11"/>
  <c r="J140" i="11"/>
  <c r="M61" i="9"/>
  <c r="N58" i="9"/>
  <c r="M63" i="9"/>
  <c r="M62" i="9"/>
  <c r="M64" i="9"/>
  <c r="P60" i="9"/>
  <c r="M57" i="9"/>
  <c r="O59" i="9"/>
  <c r="G50" i="6"/>
  <c r="Z85" i="36"/>
  <c r="X85" i="36"/>
  <c r="AA85" i="36"/>
  <c r="O142" i="6"/>
  <c r="J35" i="23"/>
  <c r="F95" i="9"/>
  <c r="F103" i="9"/>
  <c r="O139" i="9"/>
  <c r="O255" i="6"/>
  <c r="J260" i="6"/>
  <c r="K212" i="8"/>
  <c r="E260" i="6"/>
  <c r="F212" i="8"/>
  <c r="O139" i="6"/>
  <c r="E244" i="6"/>
  <c r="E217" i="8"/>
  <c r="D127" i="11"/>
  <c r="M117" i="9"/>
  <c r="K75" i="11"/>
  <c r="F159" i="9"/>
  <c r="F160" i="9"/>
  <c r="Q158" i="9"/>
  <c r="G31" i="9"/>
  <c r="P121" i="9"/>
  <c r="O125" i="9"/>
  <c r="O126" i="9"/>
  <c r="O124" i="9"/>
  <c r="O127" i="9"/>
  <c r="O120" i="9"/>
  <c r="F144" i="9"/>
  <c r="E143" i="9"/>
  <c r="N138" i="9"/>
  <c r="L111" i="11"/>
  <c r="N159" i="9"/>
  <c r="N160" i="9"/>
  <c r="G215" i="8"/>
  <c r="G246" i="6"/>
  <c r="E120" i="8"/>
  <c r="N120" i="8"/>
  <c r="L138" i="9"/>
  <c r="J111" i="11"/>
  <c r="Q137" i="9"/>
  <c r="F31" i="9"/>
  <c r="G58" i="8"/>
  <c r="E86" i="36"/>
  <c r="G86" i="36"/>
  <c r="D87" i="36"/>
  <c r="E87" i="36"/>
  <c r="J143" i="6"/>
  <c r="L54" i="8"/>
  <c r="O200" i="6"/>
  <c r="P200" i="6"/>
  <c r="AS111" i="23"/>
  <c r="AE36" i="23"/>
  <c r="E17" i="10"/>
  <c r="E14" i="16"/>
  <c r="K167" i="9"/>
  <c r="P102" i="9"/>
  <c r="L98" i="9"/>
  <c r="K162" i="9"/>
  <c r="K103" i="9"/>
  <c r="K97" i="9"/>
  <c r="K101" i="9"/>
  <c r="I104" i="9"/>
  <c r="I101" i="9"/>
  <c r="I102" i="9"/>
  <c r="I97" i="9"/>
  <c r="J98" i="9"/>
  <c r="I103" i="9"/>
  <c r="K102" i="9"/>
  <c r="G160" i="9"/>
  <c r="G166" i="9"/>
  <c r="M164" i="9"/>
  <c r="K166" i="9"/>
  <c r="K217" i="8"/>
  <c r="K246" i="6"/>
  <c r="M82" i="9"/>
  <c r="G82" i="9"/>
  <c r="G81" i="9"/>
  <c r="G77" i="9"/>
  <c r="G83" i="9"/>
  <c r="G84" i="9"/>
  <c r="H78" i="9"/>
  <c r="M84" i="9"/>
  <c r="E98" i="9"/>
  <c r="P77" i="9"/>
  <c r="P84" i="9"/>
  <c r="P82" i="9"/>
  <c r="P81" i="9"/>
  <c r="P83" i="9"/>
  <c r="M139" i="9"/>
  <c r="M146" i="9"/>
  <c r="J89" i="52"/>
  <c r="C89" i="52"/>
  <c r="H89" i="52"/>
  <c r="E89" i="52"/>
  <c r="P118" i="9"/>
  <c r="E142" i="9"/>
  <c r="K88" i="52"/>
  <c r="I129" i="9"/>
  <c r="G167" i="9"/>
  <c r="G162" i="9"/>
  <c r="G168" i="9"/>
  <c r="G87" i="36"/>
  <c r="D88" i="36"/>
  <c r="G88" i="36"/>
  <c r="D89" i="36"/>
  <c r="G89" i="36"/>
  <c r="D90" i="36"/>
  <c r="E90" i="36"/>
  <c r="H164" i="9"/>
  <c r="F168" i="9"/>
  <c r="F162" i="9"/>
  <c r="F167" i="9"/>
  <c r="F166" i="9"/>
  <c r="I165" i="9"/>
  <c r="G163" i="9"/>
  <c r="O141" i="9"/>
  <c r="O147" i="9"/>
  <c r="O148" i="9"/>
  <c r="O146" i="9"/>
  <c r="O145" i="9"/>
  <c r="F165" i="9"/>
  <c r="E164" i="9"/>
  <c r="P142" i="9"/>
  <c r="G139" i="8"/>
  <c r="G188" i="6"/>
  <c r="E59" i="8"/>
  <c r="N142" i="9"/>
  <c r="B28" i="36"/>
  <c r="B29" i="36"/>
  <c r="G27" i="36"/>
  <c r="J27" i="36"/>
  <c r="K27" i="36"/>
  <c r="L27" i="36"/>
  <c r="M27" i="36"/>
  <c r="C27" i="36" s="1"/>
  <c r="F50" i="11" s="1"/>
  <c r="H27" i="36"/>
  <c r="O27" i="36"/>
  <c r="N27" i="36"/>
  <c r="D27" i="36" s="1"/>
  <c r="H120" i="8" s="1"/>
  <c r="I27" i="36"/>
  <c r="O77" i="9"/>
  <c r="P78" i="9"/>
  <c r="O84" i="9"/>
  <c r="O81" i="9"/>
  <c r="O82" i="9"/>
  <c r="O83" i="9"/>
  <c r="E103" i="9"/>
  <c r="D147" i="11"/>
  <c r="Q159" i="9"/>
  <c r="F102" i="9"/>
  <c r="F101" i="9"/>
  <c r="G98" i="9"/>
  <c r="Y85" i="36"/>
  <c r="C127" i="11"/>
  <c r="D244" i="6"/>
  <c r="C26" i="36"/>
  <c r="E50" i="11"/>
  <c r="L139" i="9"/>
  <c r="N143" i="9"/>
  <c r="N139" i="9"/>
  <c r="N146" i="9"/>
  <c r="E246" i="6"/>
  <c r="F14" i="16"/>
  <c r="I17" i="10"/>
  <c r="G17" i="10"/>
  <c r="I164" i="9"/>
  <c r="M148" i="9"/>
  <c r="G144" i="9"/>
  <c r="P120" i="9"/>
  <c r="D217" i="8"/>
  <c r="G28" i="36"/>
  <c r="J28" i="36"/>
  <c r="M28" i="36"/>
  <c r="C28" i="36"/>
  <c r="O28" i="36"/>
  <c r="I28" i="36"/>
  <c r="N28" i="36"/>
  <c r="L28" i="36"/>
  <c r="K28" i="36"/>
  <c r="L145" i="9"/>
  <c r="M142" i="9"/>
  <c r="L146" i="9"/>
  <c r="L141" i="9"/>
  <c r="L148" i="9"/>
  <c r="O144" i="9"/>
  <c r="N147" i="9"/>
  <c r="N141" i="9"/>
  <c r="N145" i="9"/>
  <c r="O142" i="9"/>
  <c r="P143" i="9"/>
  <c r="E165" i="9"/>
  <c r="E27" i="36"/>
  <c r="F27" i="25"/>
  <c r="G90" i="36"/>
  <c r="D91" i="36"/>
  <c r="Z35" i="23"/>
  <c r="M35" i="23"/>
  <c r="AZ111" i="23"/>
  <c r="AZ129" i="23"/>
  <c r="AZ162" i="23"/>
  <c r="AZ169" i="23"/>
  <c r="AE104" i="23"/>
  <c r="AE105" i="23"/>
  <c r="AE103" i="23"/>
  <c r="AG110" i="23"/>
  <c r="AH110" i="23"/>
  <c r="AE111" i="23"/>
  <c r="F103" i="20"/>
  <c r="O86" i="20"/>
  <c r="J11" i="23"/>
  <c r="D122" i="24"/>
  <c r="U36" i="23"/>
  <c r="AW110" i="23"/>
  <c r="AX110" i="23"/>
  <c r="AW101" i="23"/>
  <c r="AY110" i="23" s="1"/>
  <c r="AW104" i="23"/>
  <c r="AW105" i="23"/>
  <c r="AW100" i="23"/>
  <c r="AW102" i="23"/>
  <c r="Q105" i="8"/>
  <c r="C20" i="10"/>
  <c r="N140" i="11"/>
  <c r="O262" i="8"/>
  <c r="AA35" i="23"/>
  <c r="AB35" i="23" s="1"/>
  <c r="F106" i="20"/>
  <c r="AW103" i="23"/>
  <c r="L82" i="9"/>
  <c r="L84" i="9"/>
  <c r="L81" i="9"/>
  <c r="M78" i="9"/>
  <c r="L83" i="9"/>
  <c r="L77" i="9"/>
  <c r="M29" i="36"/>
  <c r="J29" i="36"/>
  <c r="O29" i="36"/>
  <c r="I29" i="36"/>
  <c r="B30" i="36"/>
  <c r="K29" i="36"/>
  <c r="G29" i="36"/>
  <c r="N29" i="36"/>
  <c r="L29" i="36"/>
  <c r="H29" i="36"/>
  <c r="M94" i="9"/>
  <c r="K146" i="11"/>
  <c r="D85" i="24"/>
  <c r="F81" i="20"/>
  <c r="D126" i="11"/>
  <c r="C26" i="11"/>
  <c r="AJ110" i="23"/>
  <c r="E89" i="36"/>
  <c r="N148" i="9"/>
  <c r="L147" i="9"/>
  <c r="H28" i="36"/>
  <c r="D28" i="36"/>
  <c r="P125" i="9"/>
  <c r="P126" i="9"/>
  <c r="M147" i="9"/>
  <c r="Q138" i="9"/>
  <c r="M118" i="9"/>
  <c r="F246" i="6"/>
  <c r="I125" i="9"/>
  <c r="H102" i="9"/>
  <c r="C59" i="11"/>
  <c r="P59" i="11"/>
  <c r="D22" i="11"/>
  <c r="N143" i="6"/>
  <c r="P54" i="8"/>
  <c r="P218" i="6"/>
  <c r="I23" i="6"/>
  <c r="L95" i="9"/>
  <c r="J146" i="11"/>
  <c r="D259" i="6"/>
  <c r="D260" i="6"/>
  <c r="E212" i="8"/>
  <c r="C259" i="6"/>
  <c r="L259" i="6"/>
  <c r="L260" i="6"/>
  <c r="M212" i="8"/>
  <c r="M259" i="6"/>
  <c r="M260" i="6"/>
  <c r="N212" i="8"/>
  <c r="G259" i="6"/>
  <c r="G260" i="6"/>
  <c r="H212" i="8"/>
  <c r="H218" i="8"/>
  <c r="K259" i="6"/>
  <c r="K260" i="6"/>
  <c r="L212" i="8"/>
  <c r="N259" i="6"/>
  <c r="N260" i="6"/>
  <c r="O212" i="8"/>
  <c r="I259" i="6"/>
  <c r="I260" i="6"/>
  <c r="J212" i="8"/>
  <c r="F259" i="6"/>
  <c r="F260" i="6"/>
  <c r="G212" i="8"/>
  <c r="G218" i="8"/>
  <c r="AQ210" i="23"/>
  <c r="AO210" i="23"/>
  <c r="F55" i="11"/>
  <c r="G128" i="6"/>
  <c r="H59" i="8"/>
  <c r="F101" i="20"/>
  <c r="P127" i="9"/>
  <c r="P124" i="9"/>
  <c r="P104" i="9"/>
  <c r="O60" i="8"/>
  <c r="O63" i="8"/>
  <c r="H63" i="9"/>
  <c r="H64" i="9"/>
  <c r="K60" i="9"/>
  <c r="K65" i="9" s="1"/>
  <c r="I48" i="11" s="1"/>
  <c r="I58" i="9"/>
  <c r="H61" i="9"/>
  <c r="H57" i="9"/>
  <c r="P124" i="6"/>
  <c r="E32" i="6"/>
  <c r="F126" i="6"/>
  <c r="AD36" i="23"/>
  <c r="AM112" i="23"/>
  <c r="AM113" i="23"/>
  <c r="AM114" i="23"/>
  <c r="AM115" i="23"/>
  <c r="AM116" i="23"/>
  <c r="AM117" i="23"/>
  <c r="AM118" i="23"/>
  <c r="AM119" i="23"/>
  <c r="AM120" i="23"/>
  <c r="AM121" i="23"/>
  <c r="AM122" i="23"/>
  <c r="AM123" i="23"/>
  <c r="AM124" i="23"/>
  <c r="AM125" i="23"/>
  <c r="AM126" i="23"/>
  <c r="AM127" i="23"/>
  <c r="AM128" i="23"/>
  <c r="AM129" i="23"/>
  <c r="AM130" i="23"/>
  <c r="AM131" i="23"/>
  <c r="AM132" i="23"/>
  <c r="AM133" i="23"/>
  <c r="AM134" i="23"/>
  <c r="AM135" i="23"/>
  <c r="AM136" i="23"/>
  <c r="AM137" i="23"/>
  <c r="AM138" i="23"/>
  <c r="AM139" i="23"/>
  <c r="AM140" i="23"/>
  <c r="AM141" i="23"/>
  <c r="AM142" i="23"/>
  <c r="AM143" i="23"/>
  <c r="AM144" i="23"/>
  <c r="AM145" i="23"/>
  <c r="AQ196" i="23"/>
  <c r="AO196" i="23"/>
  <c r="N55" i="11"/>
  <c r="O128" i="6"/>
  <c r="C12" i="11"/>
  <c r="F143" i="9"/>
  <c r="G88" i="52"/>
  <c r="G62" i="11"/>
  <c r="P103" i="9"/>
  <c r="D89" i="24"/>
  <c r="D91" i="24"/>
  <c r="M118" i="6"/>
  <c r="P116" i="6"/>
  <c r="D23" i="6"/>
  <c r="K83" i="9"/>
  <c r="K77" i="9"/>
  <c r="K84" i="9"/>
  <c r="K81" i="9"/>
  <c r="K196" i="6"/>
  <c r="J196" i="6"/>
  <c r="D196" i="6"/>
  <c r="L196" i="6"/>
  <c r="N196" i="6"/>
  <c r="E196" i="6"/>
  <c r="K162" i="6"/>
  <c r="P160" i="6"/>
  <c r="F23" i="6"/>
  <c r="G104" i="6"/>
  <c r="H116" i="9"/>
  <c r="P147" i="9"/>
  <c r="F164" i="9"/>
  <c r="G165" i="9"/>
  <c r="P141" i="9"/>
  <c r="P145" i="9"/>
  <c r="P146" i="9"/>
  <c r="P148" i="9"/>
  <c r="AF36" i="23"/>
  <c r="E25" i="36"/>
  <c r="D27" i="25"/>
  <c r="H62" i="9"/>
  <c r="P94" i="11"/>
  <c r="E21" i="11"/>
  <c r="H111" i="11"/>
  <c r="J139" i="9"/>
  <c r="E60" i="9"/>
  <c r="G60" i="9"/>
  <c r="F60" i="9"/>
  <c r="D80" i="9"/>
  <c r="O80" i="9"/>
  <c r="AR222" i="23"/>
  <c r="AM148" i="23"/>
  <c r="AN151" i="23"/>
  <c r="AP154" i="23"/>
  <c r="AQ154" i="23"/>
  <c r="AM158" i="23"/>
  <c r="AS160" i="23"/>
  <c r="AS163" i="23"/>
  <c r="AN166" i="23"/>
  <c r="AN168" i="23"/>
  <c r="AS172" i="23"/>
  <c r="AS175" i="23"/>
  <c r="AR178" i="23"/>
  <c r="AM181" i="23"/>
  <c r="AN209" i="23"/>
  <c r="AM147" i="23"/>
  <c r="AR150" i="23"/>
  <c r="AS153" i="23"/>
  <c r="AS157" i="23"/>
  <c r="AR159" i="23"/>
  <c r="AS162" i="23"/>
  <c r="AP165" i="23"/>
  <c r="AQ165" i="23"/>
  <c r="AR168" i="23"/>
  <c r="AN171" i="23"/>
  <c r="AN175" i="23"/>
  <c r="AN177" i="23"/>
  <c r="AR180" i="23"/>
  <c r="AP183" i="23"/>
  <c r="AQ183" i="23"/>
  <c r="AM186" i="23"/>
  <c r="AS188" i="23"/>
  <c r="AP191" i="23"/>
  <c r="AQ191" i="23"/>
  <c r="AN146" i="23"/>
  <c r="AR190" i="23"/>
  <c r="AR229" i="23"/>
  <c r="AM149" i="23"/>
  <c r="AR152" i="23"/>
  <c r="AS155" i="23"/>
  <c r="AP158" i="23"/>
  <c r="AQ158" i="23"/>
  <c r="AP161" i="23"/>
  <c r="AQ161" i="23"/>
  <c r="AR164" i="23"/>
  <c r="AM166" i="23"/>
  <c r="AM169" i="23"/>
  <c r="AP173" i="23"/>
  <c r="AQ173" i="23"/>
  <c r="AR176" i="23"/>
  <c r="AR179" i="23"/>
  <c r="AP182" i="23"/>
  <c r="AQ182" i="23"/>
  <c r="AF227" i="23"/>
  <c r="AF160" i="23"/>
  <c r="AF159" i="23"/>
  <c r="T17" i="25"/>
  <c r="K22" i="6"/>
  <c r="H104" i="6"/>
  <c r="P134" i="6"/>
  <c r="M239" i="6"/>
  <c r="L110" i="11"/>
  <c r="AZ174" i="23"/>
  <c r="L39" i="23"/>
  <c r="E167" i="9"/>
  <c r="K39" i="23"/>
  <c r="N164" i="9"/>
  <c r="L162" i="9"/>
  <c r="P133" i="6"/>
  <c r="P191" i="6"/>
  <c r="P250" i="6"/>
  <c r="L182" i="6"/>
  <c r="K181" i="6"/>
  <c r="E178" i="6"/>
  <c r="M180" i="6"/>
  <c r="O211" i="8"/>
  <c r="N237" i="6"/>
  <c r="I60" i="9"/>
  <c r="I65" i="9" s="1"/>
  <c r="G48" i="11" s="1"/>
  <c r="O39" i="23"/>
  <c r="C39" i="23" s="1"/>
  <c r="G49" i="11" s="1"/>
  <c r="E64" i="9"/>
  <c r="N118" i="9"/>
  <c r="K147" i="9"/>
  <c r="P38" i="23"/>
  <c r="D38" i="23"/>
  <c r="H119" i="8"/>
  <c r="J62" i="9"/>
  <c r="M60" i="9"/>
  <c r="N111" i="11"/>
  <c r="AX144" i="23"/>
  <c r="AX138" i="23"/>
  <c r="AZ112" i="23"/>
  <c r="N86" i="36"/>
  <c r="AX128" i="23"/>
  <c r="AX150" i="23"/>
  <c r="AZ227" i="23"/>
  <c r="AX113" i="23"/>
  <c r="I212" i="23"/>
  <c r="F186" i="23"/>
  <c r="C191" i="23"/>
  <c r="F221" i="23"/>
  <c r="F214" i="23"/>
  <c r="H172" i="23"/>
  <c r="I210" i="23"/>
  <c r="H173" i="23"/>
  <c r="C212" i="23"/>
  <c r="H209" i="23"/>
  <c r="F187" i="23"/>
  <c r="C188" i="23"/>
  <c r="F185" i="23"/>
  <c r="I205" i="23"/>
  <c r="F227" i="23"/>
  <c r="F171" i="23"/>
  <c r="H199" i="23"/>
  <c r="F183" i="23"/>
  <c r="C190" i="23"/>
  <c r="F217" i="23"/>
  <c r="F170" i="23"/>
  <c r="C229" i="23"/>
  <c r="R227" i="23"/>
  <c r="R214" i="23"/>
  <c r="R205" i="23"/>
  <c r="R193" i="23"/>
  <c r="I193" i="23"/>
  <c r="I199" i="23"/>
  <c r="R204" i="23"/>
  <c r="R178" i="23"/>
  <c r="I198" i="23"/>
  <c r="R229" i="23"/>
  <c r="R215" i="23"/>
  <c r="R201" i="23"/>
  <c r="H192" i="23"/>
  <c r="F224" i="23"/>
  <c r="R224" i="23"/>
  <c r="R208" i="23"/>
  <c r="R182" i="23"/>
  <c r="AV130" i="23"/>
  <c r="AW210" i="23"/>
  <c r="AX210" i="23"/>
  <c r="BB114" i="23"/>
  <c r="AY206" i="23"/>
  <c r="AZ206" i="23"/>
  <c r="AW222" i="23"/>
  <c r="AV192" i="23"/>
  <c r="AW167" i="23"/>
  <c r="AW192" i="23"/>
  <c r="AX192" i="23"/>
  <c r="AW143" i="23"/>
  <c r="BA168" i="23"/>
  <c r="AW194" i="23"/>
  <c r="AX194" i="23"/>
  <c r="O198" i="6"/>
  <c r="AI35" i="23"/>
  <c r="W35" i="23"/>
  <c r="C61" i="11"/>
  <c r="P95" i="11"/>
  <c r="E22" i="11"/>
  <c r="E46" i="6"/>
  <c r="G46" i="6"/>
  <c r="P137" i="6"/>
  <c r="M237" i="6"/>
  <c r="P237" i="6"/>
  <c r="K29" i="6"/>
  <c r="M240" i="6"/>
  <c r="E162" i="9"/>
  <c r="E166" i="9"/>
  <c r="B40" i="23"/>
  <c r="L168" i="9"/>
  <c r="E179" i="6"/>
  <c r="E184" i="6"/>
  <c r="M183" i="6"/>
  <c r="J57" i="9"/>
  <c r="L166" i="9"/>
  <c r="J64" i="9"/>
  <c r="AX161" i="23"/>
  <c r="AZ209" i="23"/>
  <c r="P94" i="36"/>
  <c r="AZ118" i="23"/>
  <c r="M74" i="11"/>
  <c r="O55" i="9"/>
  <c r="B92" i="11"/>
  <c r="B128" i="11"/>
  <c r="AO92" i="23"/>
  <c r="AC35" i="23"/>
  <c r="U35" i="23"/>
  <c r="Q179" i="23"/>
  <c r="M191" i="23"/>
  <c r="M208" i="23"/>
  <c r="Q172" i="23"/>
  <c r="M189" i="23"/>
  <c r="O204" i="23"/>
  <c r="M219" i="23"/>
  <c r="M187" i="23"/>
  <c r="L198" i="23"/>
  <c r="O212" i="23"/>
  <c r="Q203" i="23"/>
  <c r="Q204" i="23"/>
  <c r="O225" i="23"/>
  <c r="L192" i="23"/>
  <c r="M224" i="23"/>
  <c r="N224" i="23"/>
  <c r="O174" i="23"/>
  <c r="O189" i="23"/>
  <c r="M201" i="23"/>
  <c r="L214" i="23"/>
  <c r="O177" i="23"/>
  <c r="Q198" i="23"/>
  <c r="L218" i="23"/>
  <c r="L185" i="23"/>
  <c r="L201" i="23"/>
  <c r="M213" i="23"/>
  <c r="M216" i="23"/>
  <c r="M222" i="23"/>
  <c r="M226" i="23"/>
  <c r="Q189" i="23"/>
  <c r="M223" i="23"/>
  <c r="M171" i="23"/>
  <c r="Q182" i="23"/>
  <c r="L196" i="23"/>
  <c r="L213" i="23"/>
  <c r="Q176" i="23"/>
  <c r="M193" i="23"/>
  <c r="M209" i="23"/>
  <c r="Q173" i="23"/>
  <c r="O191" i="23"/>
  <c r="O207" i="23"/>
  <c r="Q205" i="23"/>
  <c r="Q194" i="23"/>
  <c r="O223" i="23"/>
  <c r="L186" i="23"/>
  <c r="L225" i="23"/>
  <c r="O171" i="23"/>
  <c r="Q180" i="23"/>
  <c r="L194" i="23"/>
  <c r="O211" i="23"/>
  <c r="M175" i="23"/>
  <c r="Q191" i="23"/>
  <c r="Q207" i="23"/>
  <c r="O186" i="23"/>
  <c r="M202" i="23"/>
  <c r="O214" i="23"/>
  <c r="O201" i="23"/>
  <c r="L176" i="23"/>
  <c r="L227" i="23"/>
  <c r="O190" i="23"/>
  <c r="Q227" i="23"/>
  <c r="M176" i="23"/>
  <c r="O187" i="23"/>
  <c r="M203" i="23"/>
  <c r="M220" i="23"/>
  <c r="O185" i="23"/>
  <c r="O200" i="23"/>
  <c r="O216" i="23"/>
  <c r="L183" i="23"/>
  <c r="O209" i="23"/>
  <c r="O193" i="23"/>
  <c r="L179" i="23"/>
  <c r="Q222" i="23"/>
  <c r="M229" i="23"/>
  <c r="L222" i="23"/>
  <c r="M173" i="23"/>
  <c r="Q185" i="23"/>
  <c r="O197" i="23"/>
  <c r="L210" i="23"/>
  <c r="M174" i="23"/>
  <c r="O194" i="23"/>
  <c r="O213" i="23"/>
  <c r="O179" i="23"/>
  <c r="Q196" i="23"/>
  <c r="O210" i="23"/>
  <c r="L200" i="23"/>
  <c r="L199" i="23"/>
  <c r="Q224" i="23"/>
  <c r="O180" i="23"/>
  <c r="M218" i="23"/>
  <c r="O229" i="23"/>
  <c r="M179" i="23"/>
  <c r="Q192" i="23"/>
  <c r="L209" i="23"/>
  <c r="Q190" i="23"/>
  <c r="M205" i="23"/>
  <c r="Q220" i="23"/>
  <c r="M188" i="23"/>
  <c r="O203" i="23"/>
  <c r="M196" i="23"/>
  <c r="Q210" i="23"/>
  <c r="L178" i="23"/>
  <c r="L223" i="23"/>
  <c r="O170" i="23"/>
  <c r="M178" i="23"/>
  <c r="M190" i="23"/>
  <c r="L206" i="23"/>
  <c r="L221" i="23"/>
  <c r="O188" i="23"/>
  <c r="L203" i="23"/>
  <c r="O219" i="23"/>
  <c r="L181" i="23"/>
  <c r="Q197" i="23"/>
  <c r="Q211" i="23"/>
  <c r="O183" i="23"/>
  <c r="M200" i="23"/>
  <c r="Q225" i="23"/>
  <c r="M181" i="23"/>
  <c r="O220" i="23"/>
  <c r="L172" i="23"/>
  <c r="L184" i="23"/>
  <c r="M199" i="23"/>
  <c r="Q216" i="23"/>
  <c r="L180" i="23"/>
  <c r="O196" i="23"/>
  <c r="M211" i="23"/>
  <c r="N211" i="23"/>
  <c r="M177" i="23"/>
  <c r="M194" i="23"/>
  <c r="O206" i="23"/>
  <c r="L220" i="23"/>
  <c r="L226" i="23"/>
  <c r="M206" i="23"/>
  <c r="M198" i="23"/>
  <c r="O217" i="23"/>
  <c r="L224" i="23"/>
  <c r="Q170" i="23"/>
  <c r="M182" i="23"/>
  <c r="L193" i="23"/>
  <c r="L205" i="23"/>
  <c r="O221" i="23"/>
  <c r="L191" i="23"/>
  <c r="Q206" i="23"/>
  <c r="L174" i="23"/>
  <c r="O192" i="23"/>
  <c r="L207" i="23"/>
  <c r="L175" i="23"/>
  <c r="O228" i="23"/>
  <c r="M215" i="23"/>
  <c r="O227" i="23"/>
  <c r="M214" i="23"/>
  <c r="M207" i="23"/>
  <c r="L173" i="23"/>
  <c r="Q188" i="23"/>
  <c r="M204" i="23"/>
  <c r="O173" i="23"/>
  <c r="Q186" i="23"/>
  <c r="Q201" i="23"/>
  <c r="M217" i="23"/>
  <c r="M184" i="23"/>
  <c r="O199" i="23"/>
  <c r="Q221" i="23"/>
  <c r="M227" i="23"/>
  <c r="Q181" i="23"/>
  <c r="M221" i="23"/>
  <c r="Q213" i="23"/>
  <c r="Q226" i="23"/>
  <c r="Q175" i="23"/>
  <c r="M186" i="23"/>
  <c r="P186" i="23" s="1"/>
  <c r="N186" i="23"/>
  <c r="Q202" i="23"/>
  <c r="L219" i="23"/>
  <c r="Q183" i="23"/>
  <c r="Q199" i="23"/>
  <c r="Q215" i="23"/>
  <c r="O175" i="23"/>
  <c r="Q193" i="23"/>
  <c r="O208" i="23"/>
  <c r="Q219" i="23"/>
  <c r="L229" i="23"/>
  <c r="L217" i="23"/>
  <c r="L228" i="23"/>
  <c r="O215" i="23"/>
  <c r="L170" i="23"/>
  <c r="O181" i="23"/>
  <c r="L195" i="23"/>
  <c r="L212" i="23"/>
  <c r="O176" i="23"/>
  <c r="M192" i="23"/>
  <c r="L208" i="23"/>
  <c r="M172" i="23"/>
  <c r="L190" i="23"/>
  <c r="L202" i="23"/>
  <c r="L215" i="23"/>
  <c r="Q223" i="23"/>
  <c r="M180" i="23"/>
  <c r="N180" i="23"/>
  <c r="Q228" i="23"/>
  <c r="L211" i="23"/>
  <c r="M228" i="23"/>
  <c r="N228" i="23"/>
  <c r="L171" i="23"/>
  <c r="L177" i="23"/>
  <c r="O218" i="23"/>
  <c r="L187" i="23"/>
  <c r="O202" i="23"/>
  <c r="M170" i="23"/>
  <c r="L188" i="23"/>
  <c r="L204" i="23"/>
  <c r="Q217" i="23"/>
  <c r="M225" i="23"/>
  <c r="O184" i="23"/>
  <c r="L182" i="23"/>
  <c r="M197" i="23"/>
  <c r="O226" i="23"/>
  <c r="O172" i="23"/>
  <c r="Q184" i="23"/>
  <c r="Q200" i="23"/>
  <c r="Q218" i="23"/>
  <c r="O182" i="23"/>
  <c r="L197" i="23"/>
  <c r="Q212" i="23"/>
  <c r="Q178" i="23"/>
  <c r="Q195" i="23"/>
  <c r="L216" i="23"/>
  <c r="O224" i="23"/>
  <c r="P224" i="23"/>
  <c r="Q208" i="23"/>
  <c r="Q177" i="23"/>
  <c r="O195" i="23"/>
  <c r="Q229" i="23"/>
  <c r="Q174" i="23"/>
  <c r="M183" i="23"/>
  <c r="O198" i="23"/>
  <c r="Q214" i="23"/>
  <c r="O178" i="23"/>
  <c r="M195" i="23"/>
  <c r="M210" i="23"/>
  <c r="Q171" i="23"/>
  <c r="L189" i="23"/>
  <c r="O205" i="23"/>
  <c r="O222" i="23"/>
  <c r="Q187" i="23"/>
  <c r="M185" i="23"/>
  <c r="Q209" i="23"/>
  <c r="M212" i="23"/>
  <c r="J36" i="6"/>
  <c r="E47" i="6"/>
  <c r="G47" i="6"/>
  <c r="O140" i="6"/>
  <c r="O143" i="6"/>
  <c r="K14" i="6"/>
  <c r="E13" i="6"/>
  <c r="P140" i="6"/>
  <c r="M238" i="6"/>
  <c r="N93" i="9"/>
  <c r="H39" i="23"/>
  <c r="L184" i="6"/>
  <c r="AG39" i="23"/>
  <c r="U39" i="23"/>
  <c r="L59" i="9"/>
  <c r="AZ210" i="23"/>
  <c r="D239" i="8"/>
  <c r="C140" i="11" s="1"/>
  <c r="H195" i="6"/>
  <c r="H201" i="6"/>
  <c r="I134" i="8"/>
  <c r="J195" i="6"/>
  <c r="J201" i="6"/>
  <c r="K134" i="8"/>
  <c r="M195" i="6"/>
  <c r="M201" i="6"/>
  <c r="N134" i="8"/>
  <c r="F195" i="6"/>
  <c r="F201" i="6"/>
  <c r="G134" i="8"/>
  <c r="G140" i="8"/>
  <c r="G143" i="8"/>
  <c r="L195" i="6"/>
  <c r="N195" i="6"/>
  <c r="N201" i="6"/>
  <c r="O134" i="8"/>
  <c r="C195" i="6"/>
  <c r="E195" i="6"/>
  <c r="E201" i="6"/>
  <c r="F134" i="8"/>
  <c r="I195" i="6"/>
  <c r="I201" i="6"/>
  <c r="J134" i="8"/>
  <c r="D195" i="6"/>
  <c r="D201" i="6"/>
  <c r="E134" i="8"/>
  <c r="K195" i="6"/>
  <c r="K201" i="6"/>
  <c r="L134" i="8"/>
  <c r="G195" i="6"/>
  <c r="G201" i="6"/>
  <c r="H134" i="8"/>
  <c r="R53" i="8"/>
  <c r="D14" i="8"/>
  <c r="M242" i="6"/>
  <c r="E52" i="6"/>
  <c r="G52" i="6"/>
  <c r="K258" i="8"/>
  <c r="L197" i="6"/>
  <c r="L201" i="6" s="1"/>
  <c r="M134" i="8" s="1"/>
  <c r="O197" i="6"/>
  <c r="P197" i="6"/>
  <c r="P256" i="6"/>
  <c r="D129" i="24"/>
  <c r="P165" i="6"/>
  <c r="G14" i="6"/>
  <c r="H14" i="6"/>
  <c r="P154" i="6"/>
  <c r="F17" i="6"/>
  <c r="H17" i="6"/>
  <c r="G36" i="6"/>
  <c r="L111" i="23"/>
  <c r="L112" i="23"/>
  <c r="L113" i="23"/>
  <c r="L114" i="23"/>
  <c r="P227" i="6"/>
  <c r="J18" i="6"/>
  <c r="K18" i="6" s="1"/>
  <c r="P216" i="6"/>
  <c r="I21" i="6"/>
  <c r="K21" i="6"/>
  <c r="P74" i="5"/>
  <c r="F21" i="5"/>
  <c r="C64" i="6"/>
  <c r="H86" i="5"/>
  <c r="P212" i="6"/>
  <c r="I17" i="6"/>
  <c r="K17" i="6"/>
  <c r="E79" i="6"/>
  <c r="H239" i="8"/>
  <c r="H262" i="8" s="1"/>
  <c r="F244" i="8"/>
  <c r="P104" i="5"/>
  <c r="H25" i="5"/>
  <c r="C81" i="6"/>
  <c r="P214" i="6"/>
  <c r="I19" i="6"/>
  <c r="K19" i="6"/>
  <c r="E81" i="6"/>
  <c r="G81" i="6"/>
  <c r="P169" i="6"/>
  <c r="G18" i="6"/>
  <c r="H18" i="6"/>
  <c r="P158" i="6"/>
  <c r="F21" i="6"/>
  <c r="P156" i="6"/>
  <c r="F19" i="6"/>
  <c r="H19" i="6"/>
  <c r="E66" i="6"/>
  <c r="G66" i="6"/>
  <c r="O272" i="8"/>
  <c r="N123" i="11"/>
  <c r="V97" i="23"/>
  <c r="P229" i="6"/>
  <c r="J20" i="6"/>
  <c r="O192" i="6"/>
  <c r="E81" i="8"/>
  <c r="C41" i="10"/>
  <c r="P166" i="6"/>
  <c r="G15" i="6"/>
  <c r="H15" i="6" s="1"/>
  <c r="E62" i="6" s="1"/>
  <c r="G62" i="6" s="1"/>
  <c r="P159" i="6"/>
  <c r="F22" i="6"/>
  <c r="H22" i="6"/>
  <c r="E69" i="6"/>
  <c r="G69" i="6"/>
  <c r="P172" i="6"/>
  <c r="G21" i="6"/>
  <c r="H21" i="6"/>
  <c r="P157" i="6"/>
  <c r="F20" i="6"/>
  <c r="H20" i="6"/>
  <c r="E67" i="6"/>
  <c r="G67" i="6"/>
  <c r="P215" i="6"/>
  <c r="I20" i="6"/>
  <c r="K20" i="6" s="1"/>
  <c r="C27" i="11"/>
  <c r="AZ110" i="23"/>
  <c r="BB110" i="23"/>
  <c r="AF111" i="23"/>
  <c r="BA110" i="23"/>
  <c r="E91" i="36"/>
  <c r="G91" i="36"/>
  <c r="D92" i="36"/>
  <c r="G50" i="11"/>
  <c r="I120" i="8"/>
  <c r="AR112" i="23"/>
  <c r="AP112" i="23"/>
  <c r="AD37" i="23"/>
  <c r="T42" i="23"/>
  <c r="AI41" i="23"/>
  <c r="AH41" i="23"/>
  <c r="D75" i="11"/>
  <c r="F118" i="9"/>
  <c r="E54" i="8"/>
  <c r="D29" i="36"/>
  <c r="J120" i="8"/>
  <c r="E28" i="36"/>
  <c r="L60" i="8"/>
  <c r="L63" i="8"/>
  <c r="I36" i="23"/>
  <c r="H111" i="23"/>
  <c r="F111" i="23"/>
  <c r="AQ112" i="23"/>
  <c r="AN113" i="23"/>
  <c r="N162" i="9"/>
  <c r="O163" i="9"/>
  <c r="N166" i="9"/>
  <c r="N168" i="9"/>
  <c r="N167" i="9"/>
  <c r="P164" i="9"/>
  <c r="E101" i="9"/>
  <c r="F98" i="9"/>
  <c r="E97" i="9"/>
  <c r="E104" i="9"/>
  <c r="M60" i="8"/>
  <c r="M63" i="8"/>
  <c r="I69" i="8"/>
  <c r="J69" i="8"/>
  <c r="F149" i="8"/>
  <c r="G149" i="8"/>
  <c r="O149" i="8"/>
  <c r="P69" i="8"/>
  <c r="N69" i="8"/>
  <c r="K149" i="8"/>
  <c r="L69" i="8"/>
  <c r="H149" i="8"/>
  <c r="N149" i="8"/>
  <c r="E69" i="8"/>
  <c r="H69" i="8"/>
  <c r="D149" i="8"/>
  <c r="L149" i="8"/>
  <c r="E149" i="8"/>
  <c r="J149" i="8"/>
  <c r="O69" i="8"/>
  <c r="G69" i="8"/>
  <c r="E45" i="6"/>
  <c r="L115" i="23"/>
  <c r="C70" i="6"/>
  <c r="D62" i="6"/>
  <c r="E60" i="6"/>
  <c r="O94" i="9"/>
  <c r="O95" i="9"/>
  <c r="D41" i="52"/>
  <c r="C41" i="52"/>
  <c r="B42" i="52"/>
  <c r="E88" i="36"/>
  <c r="O143" i="9"/>
  <c r="H160" i="9"/>
  <c r="F104" i="9"/>
  <c r="F97" i="9"/>
  <c r="M145" i="9"/>
  <c r="C146" i="11"/>
  <c r="G221" i="8"/>
  <c r="I89" i="52"/>
  <c r="D89" i="52"/>
  <c r="J139" i="8"/>
  <c r="I120" i="9"/>
  <c r="I126" i="9"/>
  <c r="AI40" i="23"/>
  <c r="Q116" i="9"/>
  <c r="E31" i="9"/>
  <c r="J118" i="9"/>
  <c r="J97" i="9"/>
  <c r="K98" i="9"/>
  <c r="P101" i="9"/>
  <c r="E22" i="6"/>
  <c r="E54" i="6"/>
  <c r="C85" i="6"/>
  <c r="D76" i="6"/>
  <c r="L127" i="11"/>
  <c r="M244" i="6"/>
  <c r="N225" i="8"/>
  <c r="M229" i="8"/>
  <c r="E228" i="8"/>
  <c r="F67" i="8"/>
  <c r="F226" i="8"/>
  <c r="O227" i="8"/>
  <c r="N227" i="8"/>
  <c r="I226" i="8"/>
  <c r="I229" i="8"/>
  <c r="J67" i="8"/>
  <c r="J147" i="8"/>
  <c r="E227" i="8"/>
  <c r="J229" i="8"/>
  <c r="H228" i="8"/>
  <c r="J228" i="8"/>
  <c r="E147" i="8"/>
  <c r="O225" i="8"/>
  <c r="F228" i="8"/>
  <c r="N226" i="8"/>
  <c r="G226" i="8"/>
  <c r="G228" i="8"/>
  <c r="F147" i="8"/>
  <c r="K227" i="8"/>
  <c r="K147" i="8"/>
  <c r="L228" i="8"/>
  <c r="K225" i="8"/>
  <c r="O226" i="8"/>
  <c r="N147" i="8"/>
  <c r="G147" i="8"/>
  <c r="D225" i="8"/>
  <c r="I147" i="8"/>
  <c r="E67" i="8"/>
  <c r="M225" i="8"/>
  <c r="H147" i="8"/>
  <c r="J225" i="8"/>
  <c r="M228" i="8"/>
  <c r="N228" i="8"/>
  <c r="O228" i="8"/>
  <c r="L225" i="8"/>
  <c r="I228" i="8"/>
  <c r="O229" i="8"/>
  <c r="F227" i="8"/>
  <c r="H225" i="8"/>
  <c r="J226" i="8"/>
  <c r="D147" i="8"/>
  <c r="D226" i="8"/>
  <c r="K67" i="8"/>
  <c r="F225" i="8"/>
  <c r="J227" i="8"/>
  <c r="O67" i="8"/>
  <c r="G227" i="8"/>
  <c r="M226" i="8"/>
  <c r="K226" i="8"/>
  <c r="D227" i="8"/>
  <c r="O147" i="8"/>
  <c r="D229" i="8"/>
  <c r="L227" i="8"/>
  <c r="D228" i="8"/>
  <c r="L147" i="8"/>
  <c r="K229" i="8"/>
  <c r="I225" i="8"/>
  <c r="I227" i="8"/>
  <c r="N67" i="8"/>
  <c r="G67" i="8"/>
  <c r="P67" i="8"/>
  <c r="M67" i="8"/>
  <c r="F229" i="8"/>
  <c r="L226" i="8"/>
  <c r="E226" i="8"/>
  <c r="I67" i="8"/>
  <c r="N229" i="8"/>
  <c r="K228" i="8"/>
  <c r="G225" i="8"/>
  <c r="H226" i="8"/>
  <c r="H229" i="8"/>
  <c r="H227" i="8"/>
  <c r="E229" i="8"/>
  <c r="H67" i="8"/>
  <c r="L229" i="8"/>
  <c r="G229" i="8"/>
  <c r="M227" i="8"/>
  <c r="E225" i="8"/>
  <c r="M147" i="8"/>
  <c r="L67" i="8"/>
  <c r="N70" i="8"/>
  <c r="E70" i="8"/>
  <c r="M70" i="8"/>
  <c r="K70" i="8"/>
  <c r="F70" i="8"/>
  <c r="J150" i="8"/>
  <c r="D150" i="8"/>
  <c r="F150" i="8"/>
  <c r="E150" i="8"/>
  <c r="P70" i="8"/>
  <c r="O70" i="8"/>
  <c r="L70" i="8"/>
  <c r="K150" i="8"/>
  <c r="G150" i="8"/>
  <c r="N150" i="8"/>
  <c r="M150" i="8"/>
  <c r="H70" i="8"/>
  <c r="I70" i="8"/>
  <c r="O150" i="8"/>
  <c r="H150" i="8"/>
  <c r="G70" i="8"/>
  <c r="I150" i="8"/>
  <c r="L150" i="8"/>
  <c r="J70" i="8"/>
  <c r="E145" i="9"/>
  <c r="E148" i="9"/>
  <c r="E141" i="9"/>
  <c r="F142" i="9"/>
  <c r="G143" i="9"/>
  <c r="E146" i="9"/>
  <c r="H144" i="9"/>
  <c r="E147" i="9"/>
  <c r="M141" i="9"/>
  <c r="L147" i="11"/>
  <c r="J121" i="9"/>
  <c r="I127" i="9"/>
  <c r="D186" i="6"/>
  <c r="J102" i="9"/>
  <c r="E77" i="6"/>
  <c r="D39" i="23"/>
  <c r="I119" i="8"/>
  <c r="E16" i="6"/>
  <c r="E48" i="6"/>
  <c r="G48" i="6"/>
  <c r="G71" i="8"/>
  <c r="E71" i="8"/>
  <c r="G151" i="8"/>
  <c r="N71" i="8"/>
  <c r="F151" i="8"/>
  <c r="F71" i="8"/>
  <c r="I151" i="8"/>
  <c r="P71" i="8"/>
  <c r="O71" i="8"/>
  <c r="M71" i="8"/>
  <c r="E151" i="8"/>
  <c r="N151" i="8"/>
  <c r="J71" i="8"/>
  <c r="K71" i="8"/>
  <c r="D151" i="8"/>
  <c r="K151" i="8"/>
  <c r="H71" i="8"/>
  <c r="M151" i="8"/>
  <c r="I71" i="8"/>
  <c r="J151" i="8"/>
  <c r="L151" i="8"/>
  <c r="L71" i="8"/>
  <c r="H151" i="8"/>
  <c r="O151" i="8"/>
  <c r="E61" i="6"/>
  <c r="G61" i="6" s="1"/>
  <c r="I242" i="6"/>
  <c r="E68" i="6"/>
  <c r="P144" i="9"/>
  <c r="P149" i="9" s="1"/>
  <c r="H163" i="9"/>
  <c r="J165" i="9"/>
  <c r="B90" i="52"/>
  <c r="K122" i="9"/>
  <c r="J104" i="9"/>
  <c r="C55" i="6"/>
  <c r="J160" i="9"/>
  <c r="H147" i="11"/>
  <c r="I139" i="9"/>
  <c r="G111" i="11"/>
  <c r="B131" i="11"/>
  <c r="B95" i="11"/>
  <c r="C169" i="9"/>
  <c r="D272" i="8"/>
  <c r="Q270" i="8"/>
  <c r="Q272" i="8"/>
  <c r="F26" i="8"/>
  <c r="L31" i="19"/>
  <c r="G31" i="19"/>
  <c r="G27" i="19"/>
  <c r="J27" i="19"/>
  <c r="L27" i="19"/>
  <c r="E75" i="9"/>
  <c r="L239" i="6"/>
  <c r="P239" i="6"/>
  <c r="K31" i="6"/>
  <c r="G118" i="9"/>
  <c r="R116" i="8"/>
  <c r="D26" i="8"/>
  <c r="M258" i="8"/>
  <c r="I239" i="8"/>
  <c r="Q254" i="8"/>
  <c r="F111" i="11"/>
  <c r="H139" i="9"/>
  <c r="H148" i="9"/>
  <c r="E246" i="8"/>
  <c r="D130" i="11"/>
  <c r="B93" i="11"/>
  <c r="B129" i="11"/>
  <c r="E59" i="9"/>
  <c r="F59" i="9"/>
  <c r="D79" i="9"/>
  <c r="F246" i="8"/>
  <c r="E130" i="11"/>
  <c r="G35" i="19"/>
  <c r="H35" i="19"/>
  <c r="L35" i="19"/>
  <c r="G28" i="19"/>
  <c r="H28" i="19"/>
  <c r="L28" i="19"/>
  <c r="J28" i="19"/>
  <c r="O178" i="6"/>
  <c r="N240" i="6"/>
  <c r="N242" i="6"/>
  <c r="L241" i="6"/>
  <c r="G272" i="8"/>
  <c r="E258" i="8"/>
  <c r="D258" i="8"/>
  <c r="U137" i="23"/>
  <c r="Z120" i="23"/>
  <c r="V123" i="23"/>
  <c r="U228" i="23"/>
  <c r="Z119" i="23"/>
  <c r="X163" i="23"/>
  <c r="AA218" i="23"/>
  <c r="Z164" i="23"/>
  <c r="Z184" i="23"/>
  <c r="U120" i="23"/>
  <c r="X165" i="23"/>
  <c r="V138" i="23"/>
  <c r="X196" i="23"/>
  <c r="X203" i="23"/>
  <c r="V139" i="23"/>
  <c r="AA178" i="23"/>
  <c r="Z175" i="23"/>
  <c r="V140" i="23"/>
  <c r="U224" i="23"/>
  <c r="Z140" i="23"/>
  <c r="V222" i="23"/>
  <c r="AA193" i="23"/>
  <c r="AA194" i="23"/>
  <c r="V224" i="23"/>
  <c r="AA132" i="23"/>
  <c r="AA137" i="23"/>
  <c r="X192" i="23"/>
  <c r="AA128" i="23"/>
  <c r="U216" i="23"/>
  <c r="X179" i="23"/>
  <c r="Z199" i="23"/>
  <c r="X128" i="23"/>
  <c r="X206" i="23"/>
  <c r="X209" i="23"/>
  <c r="U222" i="23"/>
  <c r="X161" i="23"/>
  <c r="X221" i="23"/>
  <c r="U165" i="23"/>
  <c r="AA213" i="23"/>
  <c r="Z177" i="23"/>
  <c r="Z146" i="23"/>
  <c r="V215" i="23"/>
  <c r="Z161" i="23"/>
  <c r="AA160" i="23"/>
  <c r="Z165" i="23"/>
  <c r="V210" i="23"/>
  <c r="X130" i="23"/>
  <c r="Z179" i="23"/>
  <c r="U184" i="23"/>
  <c r="U146" i="23"/>
  <c r="AA165" i="23"/>
  <c r="X193" i="23"/>
  <c r="V176" i="23"/>
  <c r="Z158" i="23"/>
  <c r="Z112" i="23"/>
  <c r="AA143" i="23"/>
  <c r="X223" i="23"/>
  <c r="Z124" i="23"/>
  <c r="X173" i="23"/>
  <c r="AA136" i="23"/>
  <c r="X210" i="23"/>
  <c r="U188" i="23"/>
  <c r="AA209" i="23"/>
  <c r="V197" i="23"/>
  <c r="Z214" i="23"/>
  <c r="V164" i="23"/>
  <c r="X170" i="23"/>
  <c r="Z228" i="23"/>
  <c r="Z125" i="23"/>
  <c r="X213" i="23"/>
  <c r="V113" i="23"/>
  <c r="X168" i="23"/>
  <c r="U133" i="23"/>
  <c r="X205" i="23"/>
  <c r="V155" i="23"/>
  <c r="AA141" i="23"/>
  <c r="Z116" i="23"/>
  <c r="U212" i="23"/>
  <c r="U124" i="23"/>
  <c r="Z190" i="23"/>
  <c r="X125" i="23"/>
  <c r="V147" i="23"/>
  <c r="X202" i="23"/>
  <c r="U153" i="23"/>
  <c r="Z118" i="23"/>
  <c r="V181" i="23"/>
  <c r="V131" i="23"/>
  <c r="AA138" i="23"/>
  <c r="X138" i="23"/>
  <c r="U183" i="23"/>
  <c r="Z130" i="23"/>
  <c r="X117" i="23"/>
  <c r="U136" i="23"/>
  <c r="AA126" i="23"/>
  <c r="U144" i="23"/>
  <c r="Z133" i="23"/>
  <c r="Z218" i="23"/>
  <c r="AA121" i="23"/>
  <c r="V216" i="23"/>
  <c r="AA224" i="23"/>
  <c r="U185" i="23"/>
  <c r="AA217" i="23"/>
  <c r="Z126" i="23"/>
  <c r="U121" i="23"/>
  <c r="X148" i="23"/>
  <c r="Z185" i="23"/>
  <c r="Z207" i="23"/>
  <c r="U171" i="23"/>
  <c r="V124" i="23"/>
  <c r="V114" i="23"/>
  <c r="AA185" i="23"/>
  <c r="U118" i="23"/>
  <c r="X124" i="23"/>
  <c r="X133" i="23"/>
  <c r="V199" i="23"/>
  <c r="U142" i="23"/>
  <c r="X156" i="23"/>
  <c r="Z192" i="23"/>
  <c r="Z145" i="23"/>
  <c r="AA122" i="23"/>
  <c r="AA216" i="23"/>
  <c r="V206" i="23"/>
  <c r="V229" i="23"/>
  <c r="V115" i="23"/>
  <c r="Z172" i="23"/>
  <c r="V128" i="23"/>
  <c r="X116" i="23"/>
  <c r="X177" i="23"/>
  <c r="V228" i="23"/>
  <c r="AA219" i="23"/>
  <c r="AA206" i="23"/>
  <c r="AA157" i="23"/>
  <c r="AA131" i="23"/>
  <c r="AA154" i="23"/>
  <c r="X200" i="23"/>
  <c r="AA111" i="23"/>
  <c r="X190" i="23"/>
  <c r="AA199" i="23"/>
  <c r="V156" i="23"/>
  <c r="V174" i="23"/>
  <c r="N127" i="9"/>
  <c r="D105" i="8"/>
  <c r="Q243" i="8"/>
  <c r="Q244" i="8"/>
  <c r="Q246" i="8"/>
  <c r="Q224" i="8"/>
  <c r="Q237" i="8"/>
  <c r="K22" i="23"/>
  <c r="L20" i="23"/>
  <c r="J15" i="23"/>
  <c r="L22" i="23"/>
  <c r="J14" i="23"/>
  <c r="J20" i="23"/>
  <c r="Q110" i="23"/>
  <c r="O110" i="23"/>
  <c r="L30" i="19"/>
  <c r="G30" i="19"/>
  <c r="H30" i="19"/>
  <c r="J30" i="19"/>
  <c r="G20" i="19"/>
  <c r="L20" i="19"/>
  <c r="L25" i="19"/>
  <c r="L133" i="8"/>
  <c r="K179" i="6"/>
  <c r="K133" i="8"/>
  <c r="F73" i="9"/>
  <c r="M181" i="6"/>
  <c r="O241" i="6"/>
  <c r="O242" i="6"/>
  <c r="J238" i="6"/>
  <c r="H211" i="8"/>
  <c r="L238" i="6"/>
  <c r="L242" i="6"/>
  <c r="P51" i="11"/>
  <c r="D14" i="11"/>
  <c r="Q278" i="8"/>
  <c r="Q251" i="8"/>
  <c r="Q258" i="8"/>
  <c r="Q260" i="8"/>
  <c r="D220" i="6"/>
  <c r="D246" i="6" s="1"/>
  <c r="J34" i="19"/>
  <c r="L58" i="11"/>
  <c r="D91" i="11"/>
  <c r="E186" i="6"/>
  <c r="E65" i="6"/>
  <c r="G65" i="6"/>
  <c r="H23" i="6"/>
  <c r="H25" i="6" s="1"/>
  <c r="X110" i="23"/>
  <c r="U204" i="23"/>
  <c r="V161" i="23"/>
  <c r="W161" i="23"/>
  <c r="V223" i="23"/>
  <c r="W223" i="23"/>
  <c r="V120" i="23"/>
  <c r="W120" i="23"/>
  <c r="X181" i="23"/>
  <c r="V149" i="23"/>
  <c r="Z213" i="23"/>
  <c r="AA164" i="23"/>
  <c r="Z183" i="23"/>
  <c r="V182" i="23"/>
  <c r="AA174" i="23"/>
  <c r="U127" i="23"/>
  <c r="V177" i="23"/>
  <c r="W177" i="23"/>
  <c r="U175" i="23"/>
  <c r="Z224" i="23"/>
  <c r="U122" i="23"/>
  <c r="V125" i="23"/>
  <c r="W125" i="23"/>
  <c r="Z186" i="23"/>
  <c r="U198" i="23"/>
  <c r="X145" i="23"/>
  <c r="Z132" i="23"/>
  <c r="U210" i="23"/>
  <c r="V227" i="23"/>
  <c r="AA115" i="23"/>
  <c r="X111" i="23"/>
  <c r="X227" i="23"/>
  <c r="AA117" i="23"/>
  <c r="X211" i="23"/>
  <c r="V190" i="23"/>
  <c r="W190" i="23"/>
  <c r="V196" i="23"/>
  <c r="W196" i="23"/>
  <c r="V203" i="23"/>
  <c r="W203" i="23"/>
  <c r="Z113" i="23"/>
  <c r="AA124" i="23"/>
  <c r="AA227" i="23"/>
  <c r="AA226" i="23"/>
  <c r="V167" i="23"/>
  <c r="Z128" i="23"/>
  <c r="X160" i="23"/>
  <c r="U159" i="23"/>
  <c r="U111" i="23"/>
  <c r="Z229" i="23"/>
  <c r="X229" i="23"/>
  <c r="AA151" i="23"/>
  <c r="Z141" i="23"/>
  <c r="U173" i="23"/>
  <c r="Z197" i="23"/>
  <c r="X191" i="23"/>
  <c r="U128" i="23"/>
  <c r="U215" i="23"/>
  <c r="U177" i="23"/>
  <c r="Z144" i="23"/>
  <c r="AA188" i="23"/>
  <c r="Z115" i="23"/>
  <c r="U152" i="23"/>
  <c r="V134" i="23"/>
  <c r="X122" i="23"/>
  <c r="Z182" i="23"/>
  <c r="AA146" i="23"/>
  <c r="X214" i="23"/>
  <c r="Z150" i="23"/>
  <c r="X146" i="23"/>
  <c r="AA208" i="23"/>
  <c r="AA139" i="23"/>
  <c r="U161" i="23"/>
  <c r="X155" i="23"/>
  <c r="AA118" i="23"/>
  <c r="U155" i="23"/>
  <c r="U164" i="23"/>
  <c r="Z160" i="23"/>
  <c r="U219" i="23"/>
  <c r="X115" i="23"/>
  <c r="U147" i="23"/>
  <c r="V146" i="23"/>
  <c r="U172" i="23"/>
  <c r="V159" i="23"/>
  <c r="V119" i="23"/>
  <c r="AA167" i="23"/>
  <c r="U217" i="23"/>
  <c r="Z169" i="23"/>
  <c r="X157" i="23"/>
  <c r="U135" i="23"/>
  <c r="AA176" i="23"/>
  <c r="V213" i="23"/>
  <c r="W213" i="23"/>
  <c r="Z220" i="23"/>
  <c r="Z149" i="23"/>
  <c r="V145" i="23"/>
  <c r="Z129" i="23"/>
  <c r="X215" i="23"/>
  <c r="V162" i="23"/>
  <c r="AA145" i="23"/>
  <c r="X174" i="23"/>
  <c r="AA127" i="23"/>
  <c r="U115" i="23"/>
  <c r="X129" i="23"/>
  <c r="V205" i="23"/>
  <c r="W205" i="23"/>
  <c r="U149" i="23"/>
  <c r="V211" i="23"/>
  <c r="U116" i="23"/>
  <c r="U129" i="23"/>
  <c r="X120" i="23"/>
  <c r="Y120" i="23"/>
  <c r="U114" i="23"/>
  <c r="V214" i="23"/>
  <c r="V193" i="23"/>
  <c r="W193" i="23"/>
  <c r="X183" i="23"/>
  <c r="V122" i="23"/>
  <c r="V168" i="23"/>
  <c r="W168" i="23"/>
  <c r="AA125" i="23"/>
  <c r="AA197" i="23"/>
  <c r="Z202" i="23"/>
  <c r="X151" i="23"/>
  <c r="U203" i="23"/>
  <c r="V183" i="23"/>
  <c r="V221" i="23"/>
  <c r="W221" i="23"/>
  <c r="X186" i="23"/>
  <c r="V118" i="23"/>
  <c r="U191" i="23"/>
  <c r="V116" i="23"/>
  <c r="W116" i="23"/>
  <c r="V188" i="23"/>
  <c r="Z135" i="23"/>
  <c r="U221" i="23"/>
  <c r="U193" i="23"/>
  <c r="AA116" i="23"/>
  <c r="V170" i="23"/>
  <c r="W170" i="23"/>
  <c r="U187" i="23"/>
  <c r="X176" i="23"/>
  <c r="Z111" i="23"/>
  <c r="X188" i="23"/>
  <c r="Z166" i="23"/>
  <c r="AA190" i="23"/>
  <c r="Z195" i="23"/>
  <c r="X180" i="23"/>
  <c r="Z204" i="23"/>
  <c r="V204" i="23"/>
  <c r="Z188" i="23"/>
  <c r="AA214" i="23"/>
  <c r="Z205" i="23"/>
  <c r="Z215" i="23"/>
  <c r="V163" i="23"/>
  <c r="W163" i="23"/>
  <c r="X141" i="23"/>
  <c r="AA113" i="23"/>
  <c r="U123" i="23"/>
  <c r="U226" i="23"/>
  <c r="U194" i="23"/>
  <c r="U181" i="23"/>
  <c r="Z203" i="23"/>
  <c r="V220" i="23"/>
  <c r="X195" i="23"/>
  <c r="Z181" i="23"/>
  <c r="AA180" i="23"/>
  <c r="X136" i="23"/>
  <c r="V185" i="23"/>
  <c r="V218" i="23"/>
  <c r="X219" i="23"/>
  <c r="AA161" i="23"/>
  <c r="Z168" i="23"/>
  <c r="X184" i="23"/>
  <c r="U227" i="23"/>
  <c r="U207" i="23"/>
  <c r="X137" i="23"/>
  <c r="V143" i="23"/>
  <c r="U163" i="23"/>
  <c r="Z219" i="23"/>
  <c r="V219" i="23"/>
  <c r="Z174" i="23"/>
  <c r="Z189" i="23"/>
  <c r="Z154" i="23"/>
  <c r="U206" i="23"/>
  <c r="Z134" i="23"/>
  <c r="U141" i="23"/>
  <c r="Z153" i="23"/>
  <c r="X154" i="23"/>
  <c r="Z162" i="23"/>
  <c r="AA159" i="23"/>
  <c r="X212" i="23"/>
  <c r="AA202" i="23"/>
  <c r="V186" i="23"/>
  <c r="Z211" i="23"/>
  <c r="U158" i="23"/>
  <c r="U162" i="23"/>
  <c r="X123" i="23"/>
  <c r="AA156" i="23"/>
  <c r="U229" i="23"/>
  <c r="X140" i="23"/>
  <c r="V189" i="23"/>
  <c r="Z148" i="23"/>
  <c r="X127" i="23"/>
  <c r="AA207" i="23"/>
  <c r="V194" i="23"/>
  <c r="AA163" i="23"/>
  <c r="V202" i="23"/>
  <c r="W202" i="23"/>
  <c r="U223" i="23"/>
  <c r="AA175" i="23"/>
  <c r="AA210" i="23"/>
  <c r="AA150" i="23"/>
  <c r="V135" i="23"/>
  <c r="AA120" i="23"/>
  <c r="Z171" i="23"/>
  <c r="V172" i="23"/>
  <c r="AA220" i="23"/>
  <c r="AA186" i="23"/>
  <c r="U139" i="23"/>
  <c r="U140" i="23"/>
  <c r="AA223" i="23"/>
  <c r="X216" i="23"/>
  <c r="Z217" i="23"/>
  <c r="V225" i="23"/>
  <c r="X139" i="23"/>
  <c r="V150" i="23"/>
  <c r="AA123" i="23"/>
  <c r="Z122" i="23"/>
  <c r="AA198" i="23"/>
  <c r="X208" i="23"/>
  <c r="V200" i="23"/>
  <c r="W200" i="23"/>
  <c r="U148" i="23"/>
  <c r="X147" i="23"/>
  <c r="AA204" i="23"/>
  <c r="AA171" i="23"/>
  <c r="U195" i="23"/>
  <c r="V217" i="23"/>
  <c r="V212" i="23"/>
  <c r="U200" i="23"/>
  <c r="Z200" i="23"/>
  <c r="AA153" i="23"/>
  <c r="U151" i="23"/>
  <c r="Z221" i="23"/>
  <c r="X166" i="23"/>
  <c r="X159" i="23"/>
  <c r="AA187" i="23"/>
  <c r="U131" i="23"/>
  <c r="Z137" i="23"/>
  <c r="Z156" i="23"/>
  <c r="Z167" i="23"/>
  <c r="U208" i="23"/>
  <c r="V136" i="23"/>
  <c r="AA225" i="23"/>
  <c r="Z193" i="23"/>
  <c r="AA144" i="23"/>
  <c r="Z212" i="23"/>
  <c r="Z210" i="23"/>
  <c r="AA195" i="23"/>
  <c r="Z121" i="23"/>
  <c r="U196" i="23"/>
  <c r="X171" i="23"/>
  <c r="Z157" i="23"/>
  <c r="Z142" i="23"/>
  <c r="U201" i="23"/>
  <c r="V121" i="23"/>
  <c r="X149" i="23"/>
  <c r="Z155" i="23"/>
  <c r="Z159" i="23"/>
  <c r="X142" i="23"/>
  <c r="AA229" i="23"/>
  <c r="AA196" i="23"/>
  <c r="X121" i="23"/>
  <c r="V137" i="23"/>
  <c r="U176" i="23"/>
  <c r="V169" i="23"/>
  <c r="U126" i="23"/>
  <c r="AA119" i="23"/>
  <c r="U213" i="23"/>
  <c r="V178" i="23"/>
  <c r="U225" i="23"/>
  <c r="X175" i="23"/>
  <c r="U192" i="23"/>
  <c r="U125" i="23"/>
  <c r="U132" i="23"/>
  <c r="Z208" i="23"/>
  <c r="AA168" i="23"/>
  <c r="Z123" i="23"/>
  <c r="V173" i="23"/>
  <c r="W173" i="23"/>
  <c r="Z180" i="23"/>
  <c r="Z131" i="23"/>
  <c r="AA221" i="23"/>
  <c r="U179" i="23"/>
  <c r="Z147" i="23"/>
  <c r="Z227" i="23"/>
  <c r="X134" i="23"/>
  <c r="U154" i="23"/>
  <c r="U112" i="23"/>
  <c r="U178" i="23"/>
  <c r="U218" i="23"/>
  <c r="AA212" i="23"/>
  <c r="X162" i="23"/>
  <c r="U113" i="23"/>
  <c r="Z139" i="23"/>
  <c r="X118" i="23"/>
  <c r="U170" i="23"/>
  <c r="X178" i="23"/>
  <c r="U174" i="23"/>
  <c r="X113" i="23"/>
  <c r="Z226" i="23"/>
  <c r="Z187" i="23"/>
  <c r="V117" i="23"/>
  <c r="W117" i="23"/>
  <c r="AA148" i="23"/>
  <c r="X132" i="23"/>
  <c r="X153" i="23"/>
  <c r="U167" i="23"/>
  <c r="Z223" i="23"/>
  <c r="U143" i="23"/>
  <c r="V179" i="23"/>
  <c r="W179" i="23"/>
  <c r="V171" i="23"/>
  <c r="V142" i="23"/>
  <c r="AA133" i="23"/>
  <c r="AA179" i="23"/>
  <c r="V129" i="23"/>
  <c r="U182" i="23"/>
  <c r="U134" i="23"/>
  <c r="V226" i="23"/>
  <c r="X198" i="23"/>
  <c r="V111" i="23"/>
  <c r="Z173" i="23"/>
  <c r="V209" i="23"/>
  <c r="W209" i="23"/>
  <c r="V187" i="23"/>
  <c r="AA147" i="23"/>
  <c r="Z136" i="23"/>
  <c r="Z222" i="23"/>
  <c r="X164" i="23"/>
  <c r="X143" i="23"/>
  <c r="Z138" i="23"/>
  <c r="X131" i="23"/>
  <c r="X185" i="23"/>
  <c r="U220" i="23"/>
  <c r="V126" i="23"/>
  <c r="AA181" i="23"/>
  <c r="U119" i="23"/>
  <c r="V157" i="23"/>
  <c r="U117" i="23"/>
  <c r="AA173" i="23"/>
  <c r="Z152" i="23"/>
  <c r="X144" i="23"/>
  <c r="X152" i="23"/>
  <c r="V132" i="23"/>
  <c r="AA205" i="23"/>
  <c r="V133" i="23"/>
  <c r="W133" i="23"/>
  <c r="X150" i="23"/>
  <c r="Z206" i="23"/>
  <c r="V201" i="23"/>
  <c r="AA166" i="23"/>
  <c r="X199" i="23"/>
  <c r="X226" i="23"/>
  <c r="X114" i="23"/>
  <c r="V207" i="23"/>
  <c r="W207" i="23"/>
  <c r="Z178" i="23"/>
  <c r="AA222" i="23"/>
  <c r="AA191" i="23"/>
  <c r="V144" i="23"/>
  <c r="U145" i="23"/>
  <c r="V165" i="23"/>
  <c r="W165" i="23"/>
  <c r="X224" i="23"/>
  <c r="V160" i="23"/>
  <c r="U186" i="23"/>
  <c r="V208" i="23"/>
  <c r="U180" i="23"/>
  <c r="U211" i="23"/>
  <c r="Z176" i="23"/>
  <c r="AA170" i="23"/>
  <c r="U160" i="23"/>
  <c r="V180" i="23"/>
  <c r="Z191" i="23"/>
  <c r="V198" i="23"/>
  <c r="AA114" i="23"/>
  <c r="Z201" i="23"/>
  <c r="X119" i="23"/>
  <c r="V166" i="23"/>
  <c r="U189" i="23"/>
  <c r="X172" i="23"/>
  <c r="X194" i="23"/>
  <c r="AA149" i="23"/>
  <c r="X189" i="23"/>
  <c r="U157" i="23"/>
  <c r="AA211" i="23"/>
  <c r="X201" i="23"/>
  <c r="U205" i="23"/>
  <c r="AA169" i="23"/>
  <c r="V158" i="23"/>
  <c r="X135" i="23"/>
  <c r="AA177" i="23"/>
  <c r="X207" i="23"/>
  <c r="Y207" i="23"/>
  <c r="X204" i="23"/>
  <c r="U130" i="23"/>
  <c r="AA182" i="23"/>
  <c r="V175" i="23"/>
  <c r="U156" i="23"/>
  <c r="AA203" i="23"/>
  <c r="AA129" i="23"/>
  <c r="X187" i="23"/>
  <c r="V112" i="23"/>
  <c r="X182" i="23"/>
  <c r="Z143" i="23"/>
  <c r="Z117" i="23"/>
  <c r="U150" i="23"/>
  <c r="AA140" i="23"/>
  <c r="AA130" i="23"/>
  <c r="AA158" i="23"/>
  <c r="U214" i="23"/>
  <c r="V127" i="23"/>
  <c r="U166" i="23"/>
  <c r="U209" i="23"/>
  <c r="X222" i="23"/>
  <c r="Z163" i="23"/>
  <c r="V152" i="23"/>
  <c r="X158" i="23"/>
  <c r="V141" i="23"/>
  <c r="U169" i="23"/>
  <c r="V192" i="23"/>
  <c r="W192" i="23"/>
  <c r="U199" i="23"/>
  <c r="V184" i="23"/>
  <c r="X228" i="23"/>
  <c r="Z170" i="23"/>
  <c r="Z198" i="23"/>
  <c r="AA192" i="23"/>
  <c r="X225" i="23"/>
  <c r="Z114" i="23"/>
  <c r="AA155" i="23"/>
  <c r="Z209" i="23"/>
  <c r="X112" i="23"/>
  <c r="U190" i="23"/>
  <c r="AA200" i="23"/>
  <c r="AA112" i="23"/>
  <c r="V148" i="23"/>
  <c r="W148" i="23"/>
  <c r="U197" i="23"/>
  <c r="V130" i="23"/>
  <c r="W130" i="23"/>
  <c r="X220" i="23"/>
  <c r="Z194" i="23"/>
  <c r="V154" i="23"/>
  <c r="AA134" i="23"/>
  <c r="Z127" i="23"/>
  <c r="X217" i="23"/>
  <c r="V191" i="23"/>
  <c r="AA183" i="23"/>
  <c r="V151" i="23"/>
  <c r="AA189" i="23"/>
  <c r="AA215" i="23"/>
  <c r="X167" i="23"/>
  <c r="AA142" i="23"/>
  <c r="U202" i="23"/>
  <c r="V153" i="23"/>
  <c r="AA135" i="23"/>
  <c r="AA162" i="23"/>
  <c r="X169" i="23"/>
  <c r="Z216" i="23"/>
  <c r="Z196" i="23"/>
  <c r="AA152" i="23"/>
  <c r="Z151" i="23"/>
  <c r="X197" i="23"/>
  <c r="X218" i="23"/>
  <c r="U168" i="23"/>
  <c r="AA201" i="23"/>
  <c r="AA228" i="23"/>
  <c r="Z225" i="23"/>
  <c r="V195" i="23"/>
  <c r="AA172" i="23"/>
  <c r="AA184" i="23"/>
  <c r="U138" i="23"/>
  <c r="X126" i="23"/>
  <c r="J131" i="11"/>
  <c r="K260" i="8"/>
  <c r="Q93" i="9"/>
  <c r="G13" i="9"/>
  <c r="N94" i="9"/>
  <c r="L146" i="11"/>
  <c r="E83" i="6"/>
  <c r="G83" i="6"/>
  <c r="E75" i="6"/>
  <c r="G75" i="6"/>
  <c r="N197" i="23"/>
  <c r="P197" i="23"/>
  <c r="N227" i="23"/>
  <c r="P227" i="23"/>
  <c r="P217" i="23"/>
  <c r="N217" i="23"/>
  <c r="P204" i="23"/>
  <c r="N204" i="23"/>
  <c r="N214" i="23"/>
  <c r="P214" i="23"/>
  <c r="P199" i="23"/>
  <c r="N199" i="23"/>
  <c r="N181" i="23"/>
  <c r="P181" i="23"/>
  <c r="N190" i="23"/>
  <c r="P190" i="23"/>
  <c r="N188" i="23"/>
  <c r="P188" i="23"/>
  <c r="P218" i="23"/>
  <c r="N218" i="23"/>
  <c r="P229" i="23"/>
  <c r="N229" i="23"/>
  <c r="N176" i="23"/>
  <c r="P176" i="23"/>
  <c r="N209" i="23"/>
  <c r="P209" i="23"/>
  <c r="N213" i="23"/>
  <c r="P213" i="23"/>
  <c r="N189" i="23"/>
  <c r="P189" i="23"/>
  <c r="AQ177" i="23"/>
  <c r="AO177" i="23"/>
  <c r="AO168" i="23"/>
  <c r="AQ168" i="23"/>
  <c r="H117" i="9"/>
  <c r="H118" i="9"/>
  <c r="P59" i="8"/>
  <c r="O130" i="6"/>
  <c r="P211" i="23"/>
  <c r="E80" i="6"/>
  <c r="G80" i="6"/>
  <c r="E84" i="6"/>
  <c r="G84" i="6"/>
  <c r="P80" i="9"/>
  <c r="M95" i="9"/>
  <c r="C29" i="36"/>
  <c r="H50" i="11"/>
  <c r="C68" i="11"/>
  <c r="E105" i="8"/>
  <c r="P185" i="23"/>
  <c r="N185" i="23"/>
  <c r="P225" i="23"/>
  <c r="N225" i="23"/>
  <c r="P170" i="23"/>
  <c r="N170" i="23"/>
  <c r="P192" i="23"/>
  <c r="N192" i="23"/>
  <c r="N184" i="23"/>
  <c r="P184" i="23"/>
  <c r="P207" i="23"/>
  <c r="N207" i="23"/>
  <c r="N177" i="23"/>
  <c r="P177" i="23"/>
  <c r="P202" i="23"/>
  <c r="N202" i="23"/>
  <c r="P175" i="23"/>
  <c r="N175" i="23"/>
  <c r="P223" i="23"/>
  <c r="N223" i="23"/>
  <c r="N216" i="23"/>
  <c r="P216" i="23"/>
  <c r="P201" i="23"/>
  <c r="N201" i="23"/>
  <c r="P191" i="23"/>
  <c r="N191" i="23"/>
  <c r="AZ143" i="23"/>
  <c r="AX143" i="23"/>
  <c r="AX222" i="23"/>
  <c r="AZ222" i="23"/>
  <c r="AH38" i="23"/>
  <c r="AH35" i="23"/>
  <c r="AI38" i="23"/>
  <c r="AJ38" i="23" s="1"/>
  <c r="AH39" i="23"/>
  <c r="AH36" i="23"/>
  <c r="AI39" i="23"/>
  <c r="AJ39" i="23" s="1"/>
  <c r="I57" i="8"/>
  <c r="I60" i="8" s="1"/>
  <c r="H130" i="6"/>
  <c r="AQ209" i="23"/>
  <c r="AO209" i="23"/>
  <c r="P162" i="6"/>
  <c r="F25" i="6"/>
  <c r="K137" i="8"/>
  <c r="Q137" i="8"/>
  <c r="P118" i="6"/>
  <c r="D25" i="6"/>
  <c r="N58" i="8"/>
  <c r="M130" i="6"/>
  <c r="C260" i="6"/>
  <c r="D212" i="8"/>
  <c r="O259" i="6"/>
  <c r="Y116" i="23"/>
  <c r="Y173" i="23"/>
  <c r="Y177" i="23"/>
  <c r="Y117" i="23"/>
  <c r="Y168" i="23"/>
  <c r="Y193" i="23"/>
  <c r="Y161" i="23"/>
  <c r="AJ41" i="23"/>
  <c r="P228" i="23"/>
  <c r="AZ192" i="23"/>
  <c r="P198" i="6"/>
  <c r="P257" i="6"/>
  <c r="AZ194" i="23"/>
  <c r="AH37" i="23"/>
  <c r="AI37" i="23"/>
  <c r="O196" i="6"/>
  <c r="P196" i="6"/>
  <c r="P255" i="6"/>
  <c r="P143" i="6"/>
  <c r="E22" i="10"/>
  <c r="E29" i="36"/>
  <c r="H27" i="25"/>
  <c r="H182" i="6"/>
  <c r="P182" i="6"/>
  <c r="H32" i="6"/>
  <c r="I73" i="9"/>
  <c r="I74" i="9"/>
  <c r="H178" i="6"/>
  <c r="H180" i="6"/>
  <c r="P180" i="6"/>
  <c r="H30" i="6"/>
  <c r="H183" i="6"/>
  <c r="P183" i="6"/>
  <c r="H33" i="6"/>
  <c r="H179" i="6"/>
  <c r="H133" i="8"/>
  <c r="H181" i="6"/>
  <c r="P181" i="6"/>
  <c r="H31" i="6"/>
  <c r="P86" i="5"/>
  <c r="F33" i="5"/>
  <c r="D12" i="36"/>
  <c r="D138" i="24"/>
  <c r="D139" i="24"/>
  <c r="D141" i="24"/>
  <c r="D143" i="24"/>
  <c r="F108" i="20"/>
  <c r="F112" i="20"/>
  <c r="O195" i="6"/>
  <c r="P195" i="6"/>
  <c r="P254" i="6"/>
  <c r="C201" i="6"/>
  <c r="D134" i="8"/>
  <c r="L186" i="6"/>
  <c r="K91" i="11"/>
  <c r="P195" i="23"/>
  <c r="N195" i="23"/>
  <c r="P183" i="23"/>
  <c r="N183" i="23"/>
  <c r="N221" i="23"/>
  <c r="P221" i="23"/>
  <c r="P215" i="23"/>
  <c r="N215" i="23"/>
  <c r="N206" i="23"/>
  <c r="P206" i="23"/>
  <c r="N194" i="23"/>
  <c r="P194" i="23"/>
  <c r="P200" i="23"/>
  <c r="N200" i="23"/>
  <c r="P196" i="23"/>
  <c r="N196" i="23"/>
  <c r="N205" i="23"/>
  <c r="P205" i="23"/>
  <c r="N179" i="23"/>
  <c r="P179" i="23"/>
  <c r="N174" i="23"/>
  <c r="P174" i="23"/>
  <c r="N173" i="23"/>
  <c r="P173" i="23"/>
  <c r="P203" i="23"/>
  <c r="N203" i="23"/>
  <c r="N171" i="23"/>
  <c r="P171" i="23"/>
  <c r="P222" i="23"/>
  <c r="N222" i="23"/>
  <c r="N219" i="23"/>
  <c r="P219" i="23"/>
  <c r="N208" i="23"/>
  <c r="P208" i="23"/>
  <c r="I20" i="23"/>
  <c r="K20" i="23"/>
  <c r="J13" i="23"/>
  <c r="O99" i="11"/>
  <c r="K21" i="23"/>
  <c r="J12" i="23"/>
  <c r="J21" i="23"/>
  <c r="L21" i="23"/>
  <c r="B41" i="23"/>
  <c r="P40" i="23"/>
  <c r="G40" i="23"/>
  <c r="O40" i="23"/>
  <c r="Y40" i="23"/>
  <c r="L40" i="23"/>
  <c r="AC40" i="23"/>
  <c r="AG40" i="23"/>
  <c r="H40" i="23"/>
  <c r="D40" i="23"/>
  <c r="J119" i="8"/>
  <c r="K40" i="23"/>
  <c r="C40" i="23" s="1"/>
  <c r="H49" i="11" s="1"/>
  <c r="AQ146" i="23"/>
  <c r="AO146" i="23"/>
  <c r="AO171" i="23"/>
  <c r="AQ171" i="23"/>
  <c r="AQ151" i="23"/>
  <c r="AO151" i="23"/>
  <c r="E55" i="11"/>
  <c r="F128" i="6"/>
  <c r="L101" i="9"/>
  <c r="L103" i="9"/>
  <c r="L97" i="9"/>
  <c r="L102" i="9"/>
  <c r="M98" i="9"/>
  <c r="L104" i="9"/>
  <c r="L30" i="36"/>
  <c r="I30" i="36"/>
  <c r="H30" i="36"/>
  <c r="B31" i="36"/>
  <c r="K30" i="36"/>
  <c r="G30" i="36"/>
  <c r="M30" i="36"/>
  <c r="N30" i="36"/>
  <c r="O30" i="36"/>
  <c r="J30" i="36"/>
  <c r="Y130" i="23"/>
  <c r="Y192" i="23"/>
  <c r="Y190" i="23"/>
  <c r="Y148" i="23"/>
  <c r="Y125" i="23"/>
  <c r="Y223" i="23"/>
  <c r="Y221" i="23"/>
  <c r="Y196" i="23"/>
  <c r="E76" i="6"/>
  <c r="G76" i="6"/>
  <c r="Q149" i="8"/>
  <c r="E82" i="6"/>
  <c r="G82" i="6"/>
  <c r="P192" i="6"/>
  <c r="AI36" i="23"/>
  <c r="N212" i="23"/>
  <c r="P212" i="23"/>
  <c r="P210" i="23"/>
  <c r="N210" i="23"/>
  <c r="N172" i="23"/>
  <c r="P172" i="23"/>
  <c r="P182" i="23"/>
  <c r="N182" i="23"/>
  <c r="N198" i="23"/>
  <c r="P198" i="23"/>
  <c r="P178" i="23"/>
  <c r="N178" i="23"/>
  <c r="P220" i="23"/>
  <c r="N220" i="23"/>
  <c r="P193" i="23"/>
  <c r="N193" i="23"/>
  <c r="P226" i="23"/>
  <c r="N226" i="23"/>
  <c r="N187" i="23"/>
  <c r="P187" i="23"/>
  <c r="O64" i="9"/>
  <c r="F80" i="9"/>
  <c r="O63" i="9"/>
  <c r="P58" i="9"/>
  <c r="O61" i="9"/>
  <c r="O57" i="9"/>
  <c r="O62" i="9"/>
  <c r="Q55" i="9"/>
  <c r="AZ167" i="23"/>
  <c r="AX167" i="23"/>
  <c r="N125" i="9"/>
  <c r="P122" i="9"/>
  <c r="N126" i="9"/>
  <c r="N124" i="9"/>
  <c r="E144" i="9"/>
  <c r="O121" i="9"/>
  <c r="N120" i="9"/>
  <c r="AQ175" i="23"/>
  <c r="AO175" i="23"/>
  <c r="AQ166" i="23"/>
  <c r="AO166" i="23"/>
  <c r="D100" i="9"/>
  <c r="E80" i="9"/>
  <c r="N80" i="9"/>
  <c r="J80" i="9"/>
  <c r="G80" i="9"/>
  <c r="M80" i="9"/>
  <c r="K80" i="9"/>
  <c r="J141" i="9"/>
  <c r="J148" i="9"/>
  <c r="J147" i="9"/>
  <c r="J145" i="9"/>
  <c r="J146" i="9"/>
  <c r="L143" i="9"/>
  <c r="M144" i="9"/>
  <c r="K142" i="9"/>
  <c r="P104" i="6"/>
  <c r="C25" i="6"/>
  <c r="G130" i="6"/>
  <c r="H57" i="8"/>
  <c r="M124" i="9"/>
  <c r="N121" i="9"/>
  <c r="P123" i="9"/>
  <c r="M127" i="9"/>
  <c r="M120" i="9"/>
  <c r="O122" i="9"/>
  <c r="O128" i="9" s="1"/>
  <c r="M126" i="9"/>
  <c r="M125" i="9"/>
  <c r="O88" i="20"/>
  <c r="C17" i="16"/>
  <c r="D17" i="16"/>
  <c r="E17" i="16"/>
  <c r="F17" i="16"/>
  <c r="F70" i="20"/>
  <c r="C22" i="10"/>
  <c r="F83" i="20"/>
  <c r="Y200" i="23"/>
  <c r="Y202" i="23"/>
  <c r="Y170" i="23"/>
  <c r="Y165" i="23"/>
  <c r="P179" i="6"/>
  <c r="H29" i="6"/>
  <c r="Y133" i="23"/>
  <c r="Y205" i="23"/>
  <c r="Y213" i="23"/>
  <c r="Y209" i="23"/>
  <c r="Y179" i="23"/>
  <c r="Y203" i="23"/>
  <c r="Y163" i="23"/>
  <c r="E230" i="8"/>
  <c r="D128" i="11"/>
  <c r="Q228" i="8"/>
  <c r="J140" i="8"/>
  <c r="J143" i="8"/>
  <c r="K23" i="6"/>
  <c r="K25" i="6" s="1"/>
  <c r="P180" i="23"/>
  <c r="AH40" i="23"/>
  <c r="AJ40" i="23"/>
  <c r="E78" i="6"/>
  <c r="G78" i="6"/>
  <c r="O244" i="6"/>
  <c r="N127" i="11"/>
  <c r="O104" i="9"/>
  <c r="O101" i="9"/>
  <c r="O103" i="9"/>
  <c r="P98" i="9"/>
  <c r="O97" i="9"/>
  <c r="O102" i="9"/>
  <c r="D215" i="8"/>
  <c r="P220" i="6"/>
  <c r="J242" i="6"/>
  <c r="P238" i="6"/>
  <c r="K30" i="6"/>
  <c r="J20" i="19"/>
  <c r="J25" i="19"/>
  <c r="H20" i="19"/>
  <c r="H25" i="19"/>
  <c r="G25" i="19"/>
  <c r="P110" i="23"/>
  <c r="M111" i="23"/>
  <c r="R110" i="23"/>
  <c r="N35" i="23"/>
  <c r="W156" i="23"/>
  <c r="Y156" i="23"/>
  <c r="W229" i="23"/>
  <c r="Y229" i="23"/>
  <c r="W199" i="23"/>
  <c r="Y199" i="23"/>
  <c r="W216" i="23"/>
  <c r="Y216" i="23"/>
  <c r="W131" i="23"/>
  <c r="Y131" i="23"/>
  <c r="W155" i="23"/>
  <c r="Y155" i="23"/>
  <c r="W113" i="23"/>
  <c r="Y113" i="23"/>
  <c r="W139" i="23"/>
  <c r="Y139" i="23"/>
  <c r="W123" i="23"/>
  <c r="Y123" i="23"/>
  <c r="D131" i="11"/>
  <c r="E260" i="8"/>
  <c r="M127" i="11"/>
  <c r="N244" i="6"/>
  <c r="J143" i="9"/>
  <c r="H141" i="9"/>
  <c r="I142" i="9"/>
  <c r="H145" i="9"/>
  <c r="K144" i="9"/>
  <c r="H146" i="9"/>
  <c r="H147" i="9"/>
  <c r="Q139" i="9"/>
  <c r="M260" i="8"/>
  <c r="M262" i="8" s="1"/>
  <c r="L131" i="11"/>
  <c r="H27" i="19"/>
  <c r="G36" i="19"/>
  <c r="G38" i="19" s="1"/>
  <c r="C123" i="11"/>
  <c r="J166" i="9"/>
  <c r="J162" i="9"/>
  <c r="L164" i="9"/>
  <c r="J167" i="9"/>
  <c r="K163" i="9"/>
  <c r="M165" i="9"/>
  <c r="J168" i="9"/>
  <c r="Q147" i="8"/>
  <c r="D152" i="8"/>
  <c r="D84" i="6"/>
  <c r="D79" i="6"/>
  <c r="D82" i="6"/>
  <c r="D83" i="6"/>
  <c r="D75" i="6"/>
  <c r="D80" i="6"/>
  <c r="D81" i="6"/>
  <c r="D78" i="6"/>
  <c r="D77" i="6"/>
  <c r="D64" i="6"/>
  <c r="D63" i="6"/>
  <c r="D69" i="6"/>
  <c r="D65" i="6"/>
  <c r="D66" i="6"/>
  <c r="D60" i="6"/>
  <c r="D67" i="6"/>
  <c r="D61" i="6"/>
  <c r="D68" i="6"/>
  <c r="AO113" i="23"/>
  <c r="G111" i="23"/>
  <c r="D112" i="23"/>
  <c r="J36" i="23"/>
  <c r="I111" i="23"/>
  <c r="I123" i="9"/>
  <c r="F126" i="9"/>
  <c r="G121" i="9"/>
  <c r="F127" i="9"/>
  <c r="F125" i="9"/>
  <c r="F124" i="9"/>
  <c r="F120" i="9"/>
  <c r="H122" i="9"/>
  <c r="G92" i="36"/>
  <c r="D93" i="36"/>
  <c r="E92" i="36"/>
  <c r="P240" i="6"/>
  <c r="K32" i="6"/>
  <c r="Q151" i="8"/>
  <c r="Q150" i="8"/>
  <c r="Q133" i="8"/>
  <c r="E14" i="8"/>
  <c r="G230" i="8"/>
  <c r="F128" i="11"/>
  <c r="P72" i="8"/>
  <c r="N56" i="11"/>
  <c r="I230" i="8"/>
  <c r="H128" i="11"/>
  <c r="M230" i="8"/>
  <c r="L128" i="11"/>
  <c r="G152" i="8"/>
  <c r="O230" i="8"/>
  <c r="N128" i="11"/>
  <c r="N230" i="8"/>
  <c r="M128" i="11"/>
  <c r="Q211" i="8"/>
  <c r="F14" i="8"/>
  <c r="H221" i="8"/>
  <c r="F74" i="9"/>
  <c r="Q73" i="9"/>
  <c r="F13" i="9"/>
  <c r="F75" i="9"/>
  <c r="F11" i="16"/>
  <c r="O135" i="11"/>
  <c r="D107" i="8"/>
  <c r="D112" i="8"/>
  <c r="D127" i="8"/>
  <c r="C39" i="10"/>
  <c r="W174" i="23"/>
  <c r="Y174" i="23"/>
  <c r="W115" i="23"/>
  <c r="Y115" i="23"/>
  <c r="Q38" i="23"/>
  <c r="R39" i="23"/>
  <c r="Q39" i="23"/>
  <c r="R38" i="23"/>
  <c r="R37" i="23"/>
  <c r="Q40" i="23"/>
  <c r="Q36" i="23"/>
  <c r="Q37" i="23"/>
  <c r="R35" i="23"/>
  <c r="R40" i="23"/>
  <c r="Q35" i="23"/>
  <c r="E35" i="23"/>
  <c r="R36" i="23"/>
  <c r="R41" i="23"/>
  <c r="Q41" i="23"/>
  <c r="W197" i="23"/>
  <c r="Y197" i="23"/>
  <c r="W224" i="23"/>
  <c r="Y224" i="23"/>
  <c r="Y138" i="23"/>
  <c r="W138" i="23"/>
  <c r="C131" i="11"/>
  <c r="D260" i="8"/>
  <c r="D262" i="8"/>
  <c r="H140" i="11"/>
  <c r="I262" i="8"/>
  <c r="F90" i="52"/>
  <c r="C90" i="52"/>
  <c r="B91" i="52"/>
  <c r="J90" i="52"/>
  <c r="E90" i="52"/>
  <c r="I90" i="52"/>
  <c r="H90" i="52"/>
  <c r="D90" i="52"/>
  <c r="I244" i="6"/>
  <c r="P242" i="6"/>
  <c r="K34" i="6"/>
  <c r="H127" i="11"/>
  <c r="G79" i="6"/>
  <c r="G77" i="6"/>
  <c r="Q225" i="8"/>
  <c r="D230" i="8"/>
  <c r="C128" i="11"/>
  <c r="G54" i="6"/>
  <c r="G41" i="52"/>
  <c r="G60" i="6"/>
  <c r="P241" i="6"/>
  <c r="K33" i="6"/>
  <c r="E262" i="8"/>
  <c r="H72" i="8"/>
  <c r="I72" i="8"/>
  <c r="G56" i="11"/>
  <c r="M72" i="8"/>
  <c r="K56" i="11"/>
  <c r="Q227" i="8"/>
  <c r="O72" i="8"/>
  <c r="Q226" i="8"/>
  <c r="H152" i="8"/>
  <c r="K230" i="8"/>
  <c r="J128" i="11"/>
  <c r="F152" i="8"/>
  <c r="E92" i="11"/>
  <c r="J72" i="8"/>
  <c r="H56" i="11"/>
  <c r="E23" i="6"/>
  <c r="P58" i="11"/>
  <c r="D21" i="11"/>
  <c r="K127" i="11"/>
  <c r="L244" i="6"/>
  <c r="W228" i="23"/>
  <c r="Y228" i="23"/>
  <c r="W124" i="23"/>
  <c r="Y124" i="23"/>
  <c r="W176" i="23"/>
  <c r="Y176" i="23"/>
  <c r="W222" i="23"/>
  <c r="Y222" i="23"/>
  <c r="F123" i="11"/>
  <c r="I122" i="9"/>
  <c r="G120" i="9"/>
  <c r="J123" i="9"/>
  <c r="G126" i="9"/>
  <c r="G127" i="9"/>
  <c r="H121" i="9"/>
  <c r="G124" i="9"/>
  <c r="G125" i="9"/>
  <c r="I146" i="9"/>
  <c r="I147" i="9"/>
  <c r="J142" i="9"/>
  <c r="I148" i="9"/>
  <c r="I141" i="9"/>
  <c r="I145" i="9"/>
  <c r="K143" i="9"/>
  <c r="K149" i="9" s="1"/>
  <c r="L144" i="9"/>
  <c r="L149" i="9" s="1"/>
  <c r="D188" i="6"/>
  <c r="D139" i="8"/>
  <c r="G89" i="52"/>
  <c r="H62" i="11"/>
  <c r="C42" i="52"/>
  <c r="B43" i="52"/>
  <c r="D42" i="52"/>
  <c r="L116" i="23"/>
  <c r="L117" i="23"/>
  <c r="L118" i="23"/>
  <c r="L119" i="23"/>
  <c r="L120" i="23"/>
  <c r="L121" i="23"/>
  <c r="L122" i="23"/>
  <c r="L123" i="23"/>
  <c r="L124" i="23"/>
  <c r="L125" i="23"/>
  <c r="L126" i="23"/>
  <c r="L127" i="23"/>
  <c r="L128" i="23"/>
  <c r="L129" i="23"/>
  <c r="L130" i="23"/>
  <c r="L131" i="23"/>
  <c r="L132" i="23"/>
  <c r="L133" i="23"/>
  <c r="L134" i="23"/>
  <c r="L135" i="23"/>
  <c r="L136" i="23"/>
  <c r="L137" i="23"/>
  <c r="L138"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E55" i="6"/>
  <c r="G45" i="6"/>
  <c r="AI111" i="23"/>
  <c r="AG111" i="23"/>
  <c r="Z36" i="23"/>
  <c r="L36" i="19"/>
  <c r="F13" i="16"/>
  <c r="M152" i="8"/>
  <c r="L92" i="11"/>
  <c r="N72" i="8"/>
  <c r="L56" i="11"/>
  <c r="L152" i="8"/>
  <c r="K92" i="11"/>
  <c r="O152" i="8"/>
  <c r="N92" i="11"/>
  <c r="K72" i="8"/>
  <c r="H230" i="8"/>
  <c r="G128" i="11"/>
  <c r="L230" i="8"/>
  <c r="K128" i="11"/>
  <c r="I152" i="8"/>
  <c r="J152" i="8"/>
  <c r="I92" i="11"/>
  <c r="K184" i="6"/>
  <c r="K89" i="52"/>
  <c r="J129" i="9"/>
  <c r="AR113" i="23"/>
  <c r="W128" i="23"/>
  <c r="Y128" i="23"/>
  <c r="W206" i="23"/>
  <c r="Y206" i="23"/>
  <c r="Y114" i="23"/>
  <c r="W114" i="23"/>
  <c r="W181" i="23"/>
  <c r="Y181" i="23"/>
  <c r="W147" i="23"/>
  <c r="Y147" i="23"/>
  <c r="Y164" i="23"/>
  <c r="W164" i="23"/>
  <c r="W210" i="23"/>
  <c r="Y210" i="23"/>
  <c r="W215" i="23"/>
  <c r="Y215" i="23"/>
  <c r="W140" i="23"/>
  <c r="Y140" i="23"/>
  <c r="O184" i="6"/>
  <c r="P178" i="6"/>
  <c r="H28" i="6"/>
  <c r="D99" i="9"/>
  <c r="M79" i="9"/>
  <c r="E79" i="9"/>
  <c r="F79" i="9"/>
  <c r="J79" i="9"/>
  <c r="I79" i="9"/>
  <c r="O79" i="9"/>
  <c r="L79" i="9"/>
  <c r="P79" i="9"/>
  <c r="N79" i="9"/>
  <c r="E82" i="9"/>
  <c r="H80" i="9"/>
  <c r="E83" i="9"/>
  <c r="G79" i="9"/>
  <c r="E77" i="9"/>
  <c r="F78" i="9"/>
  <c r="E81" i="9"/>
  <c r="E84" i="9"/>
  <c r="J31" i="19"/>
  <c r="H31" i="19"/>
  <c r="L169" i="9"/>
  <c r="I169" i="9"/>
  <c r="E169" i="9"/>
  <c r="E170" i="9" s="1"/>
  <c r="J169" i="9"/>
  <c r="M169" i="9"/>
  <c r="P169" i="9"/>
  <c r="H169" i="9"/>
  <c r="O169" i="9"/>
  <c r="O170" i="9" s="1"/>
  <c r="K169" i="9"/>
  <c r="G169" i="9"/>
  <c r="F169" i="9"/>
  <c r="N169" i="9"/>
  <c r="D49" i="6"/>
  <c r="D47" i="6"/>
  <c r="D45" i="6"/>
  <c r="D54" i="6"/>
  <c r="D50" i="6"/>
  <c r="D52" i="6"/>
  <c r="D51" i="6"/>
  <c r="D48" i="6"/>
  <c r="D46" i="6"/>
  <c r="D53" i="6"/>
  <c r="R67" i="8"/>
  <c r="E72" i="8"/>
  <c r="M217" i="8"/>
  <c r="M218" i="8"/>
  <c r="M221" i="8"/>
  <c r="M246" i="6"/>
  <c r="E85" i="6"/>
  <c r="F76" i="6"/>
  <c r="J126" i="9"/>
  <c r="K121" i="9"/>
  <c r="M123" i="9"/>
  <c r="J120" i="9"/>
  <c r="L122" i="9"/>
  <c r="L128" i="9" s="1"/>
  <c r="J127" i="9"/>
  <c r="J125" i="9"/>
  <c r="J124" i="9"/>
  <c r="K165" i="9"/>
  <c r="H168" i="9"/>
  <c r="H162" i="9"/>
  <c r="J164" i="9"/>
  <c r="H167" i="9"/>
  <c r="Q160" i="9"/>
  <c r="H166" i="9"/>
  <c r="I163" i="9"/>
  <c r="M146" i="11"/>
  <c r="Q94" i="9"/>
  <c r="G27" i="25"/>
  <c r="AH42" i="23"/>
  <c r="AI42" i="23"/>
  <c r="AJ42" i="23" s="1"/>
  <c r="T43" i="23"/>
  <c r="AE37" i="23"/>
  <c r="AF37" i="23"/>
  <c r="AS112" i="23"/>
  <c r="J35" i="19"/>
  <c r="J36" i="19" s="1"/>
  <c r="E13" i="16" s="1"/>
  <c r="G68" i="6"/>
  <c r="R71" i="8"/>
  <c r="F48" i="6"/>
  <c r="R70" i="8"/>
  <c r="L72" i="8"/>
  <c r="J56" i="11"/>
  <c r="G72" i="8"/>
  <c r="E56" i="11"/>
  <c r="Q229" i="8"/>
  <c r="Q230" i="8"/>
  <c r="F19" i="8"/>
  <c r="F230" i="8"/>
  <c r="N152" i="8"/>
  <c r="M92" i="11"/>
  <c r="K152" i="8"/>
  <c r="J92" i="11"/>
  <c r="E152" i="8"/>
  <c r="F72" i="8"/>
  <c r="D56" i="11"/>
  <c r="M184" i="6"/>
  <c r="R69" i="8"/>
  <c r="I121" i="9"/>
  <c r="H120" i="9"/>
  <c r="J122" i="9"/>
  <c r="K123" i="9"/>
  <c r="H125" i="9"/>
  <c r="H127" i="9"/>
  <c r="H124" i="9"/>
  <c r="H126" i="9"/>
  <c r="Q118" i="9"/>
  <c r="K100" i="9"/>
  <c r="G100" i="9"/>
  <c r="J100" i="9"/>
  <c r="E100" i="9"/>
  <c r="N100" i="9"/>
  <c r="L100" i="9"/>
  <c r="F100" i="9"/>
  <c r="I100" i="9"/>
  <c r="M100" i="9"/>
  <c r="H100" i="9"/>
  <c r="N31" i="36"/>
  <c r="B32" i="36"/>
  <c r="G31" i="36"/>
  <c r="L31" i="36"/>
  <c r="O31" i="36"/>
  <c r="K31" i="36"/>
  <c r="I31" i="36"/>
  <c r="J31" i="36"/>
  <c r="M31" i="36"/>
  <c r="H31" i="36"/>
  <c r="D31" i="36"/>
  <c r="L120" i="8"/>
  <c r="G59" i="8"/>
  <c r="F130" i="6"/>
  <c r="L139" i="8"/>
  <c r="L188" i="6"/>
  <c r="E103" i="10"/>
  <c r="E88" i="10"/>
  <c r="W195" i="23"/>
  <c r="Y195" i="23"/>
  <c r="W151" i="23"/>
  <c r="Y151" i="23"/>
  <c r="W184" i="23"/>
  <c r="Y184" i="23"/>
  <c r="W141" i="23"/>
  <c r="Y141" i="23"/>
  <c r="W112" i="23"/>
  <c r="Y112" i="23"/>
  <c r="W158" i="23"/>
  <c r="Y158" i="23"/>
  <c r="W126" i="23"/>
  <c r="Y126" i="23"/>
  <c r="Y137" i="23"/>
  <c r="W137" i="23"/>
  <c r="Y121" i="23"/>
  <c r="W121" i="23"/>
  <c r="W217" i="23"/>
  <c r="Y217" i="23"/>
  <c r="W135" i="23"/>
  <c r="Y135" i="23"/>
  <c r="W219" i="23"/>
  <c r="Y219" i="23"/>
  <c r="W185" i="23"/>
  <c r="Y185" i="23"/>
  <c r="Y118" i="23"/>
  <c r="W118" i="23"/>
  <c r="Y159" i="23"/>
  <c r="W159" i="23"/>
  <c r="W134" i="23"/>
  <c r="Y134" i="23"/>
  <c r="Y227" i="23"/>
  <c r="W227" i="23"/>
  <c r="D70" i="6"/>
  <c r="O100" i="9"/>
  <c r="H184" i="6"/>
  <c r="AJ37" i="23"/>
  <c r="C13" i="11"/>
  <c r="C15" i="11"/>
  <c r="F107" i="20"/>
  <c r="F114" i="20"/>
  <c r="F75" i="11"/>
  <c r="Q117" i="9"/>
  <c r="W127" i="23"/>
  <c r="Y127" i="23"/>
  <c r="W166" i="23"/>
  <c r="Y166" i="23"/>
  <c r="Y198" i="23"/>
  <c r="W198" i="23"/>
  <c r="W208" i="23"/>
  <c r="Y208" i="23"/>
  <c r="Y132" i="23"/>
  <c r="W132" i="23"/>
  <c r="W226" i="23"/>
  <c r="Y226" i="23"/>
  <c r="W212" i="23"/>
  <c r="Y212" i="23"/>
  <c r="Y150" i="23"/>
  <c r="W150" i="23"/>
  <c r="Y194" i="23"/>
  <c r="W194" i="23"/>
  <c r="Y189" i="23"/>
  <c r="W189" i="23"/>
  <c r="Y186" i="23"/>
  <c r="W186" i="23"/>
  <c r="W143" i="23"/>
  <c r="Y143" i="23"/>
  <c r="Y218" i="23"/>
  <c r="W218" i="23"/>
  <c r="Y183" i="23"/>
  <c r="W183" i="23"/>
  <c r="W119" i="23"/>
  <c r="Y119" i="23"/>
  <c r="W167" i="23"/>
  <c r="Y167" i="23"/>
  <c r="AA110" i="23"/>
  <c r="Y110" i="23"/>
  <c r="E139" i="8"/>
  <c r="E188" i="6"/>
  <c r="Q54" i="8"/>
  <c r="G79" i="20"/>
  <c r="G80" i="20"/>
  <c r="Q88" i="20"/>
  <c r="G23" i="20"/>
  <c r="G74" i="20"/>
  <c r="G44" i="20"/>
  <c r="G75" i="20"/>
  <c r="G47" i="20"/>
  <c r="G72" i="20"/>
  <c r="G94" i="20"/>
  <c r="G35" i="20"/>
  <c r="G29" i="20"/>
  <c r="G57" i="20"/>
  <c r="G51" i="20"/>
  <c r="G39" i="20"/>
  <c r="G81" i="20"/>
  <c r="G73" i="20"/>
  <c r="G77" i="20"/>
  <c r="G56" i="20"/>
  <c r="G111" i="20"/>
  <c r="G96" i="20"/>
  <c r="G61" i="20"/>
  <c r="G71" i="20"/>
  <c r="G65" i="20"/>
  <c r="G67" i="20"/>
  <c r="G83" i="20"/>
  <c r="G33" i="20"/>
  <c r="G62" i="20"/>
  <c r="G19" i="20"/>
  <c r="G25" i="20"/>
  <c r="G28" i="20"/>
  <c r="G103" i="20"/>
  <c r="G104" i="20"/>
  <c r="G63" i="20"/>
  <c r="G68" i="20"/>
  <c r="Q87" i="20"/>
  <c r="G95" i="20"/>
  <c r="G26" i="20"/>
  <c r="Q86" i="20"/>
  <c r="G22" i="20"/>
  <c r="G36" i="20"/>
  <c r="G105" i="20"/>
  <c r="G48" i="20"/>
  <c r="G102" i="20"/>
  <c r="G53" i="20"/>
  <c r="G106" i="20"/>
  <c r="Q89" i="20"/>
  <c r="G30" i="20"/>
  <c r="G21" i="20"/>
  <c r="G50" i="20"/>
  <c r="G42" i="20"/>
  <c r="G66" i="20"/>
  <c r="G64" i="20"/>
  <c r="G27" i="20"/>
  <c r="G76" i="20"/>
  <c r="G78" i="20"/>
  <c r="G60" i="20"/>
  <c r="G45" i="20"/>
  <c r="G110" i="20"/>
  <c r="G34" i="20"/>
  <c r="G24" i="20"/>
  <c r="G97" i="20"/>
  <c r="G108" i="20"/>
  <c r="G40" i="20"/>
  <c r="G38" i="20"/>
  <c r="G20" i="20"/>
  <c r="G37" i="20"/>
  <c r="G41" i="20"/>
  <c r="G43" i="20"/>
  <c r="G31" i="20"/>
  <c r="G49" i="20"/>
  <c r="G112" i="20"/>
  <c r="G93" i="20"/>
  <c r="G109" i="20"/>
  <c r="O90" i="20"/>
  <c r="C16" i="11"/>
  <c r="C33" i="11"/>
  <c r="C34" i="11"/>
  <c r="O89" i="20"/>
  <c r="P99" i="11"/>
  <c r="E26" i="11"/>
  <c r="O100" i="11"/>
  <c r="O106" i="11"/>
  <c r="O107" i="11"/>
  <c r="O260" i="6"/>
  <c r="P259" i="6"/>
  <c r="Y153" i="23"/>
  <c r="W153" i="23"/>
  <c r="W191" i="23"/>
  <c r="Y191" i="23"/>
  <c r="W154" i="23"/>
  <c r="Y154" i="23"/>
  <c r="W152" i="23"/>
  <c r="Y152" i="23"/>
  <c r="Y201" i="23"/>
  <c r="W201" i="23"/>
  <c r="W187" i="23"/>
  <c r="Y187" i="23"/>
  <c r="W129" i="23"/>
  <c r="Y129" i="23"/>
  <c r="Y171" i="23"/>
  <c r="W171" i="23"/>
  <c r="W178" i="23"/>
  <c r="Y178" i="23"/>
  <c r="W169" i="23"/>
  <c r="Y169" i="23"/>
  <c r="Y204" i="23"/>
  <c r="W204" i="23"/>
  <c r="Y122" i="23"/>
  <c r="W122" i="23"/>
  <c r="W211" i="23"/>
  <c r="Y211" i="23"/>
  <c r="W162" i="23"/>
  <c r="Y162" i="23"/>
  <c r="W146" i="23"/>
  <c r="Y146" i="23"/>
  <c r="C30" i="36"/>
  <c r="I50" i="11"/>
  <c r="E30" i="36"/>
  <c r="I27" i="25"/>
  <c r="AJ36" i="23"/>
  <c r="P251" i="6"/>
  <c r="H41" i="23"/>
  <c r="Y41" i="23"/>
  <c r="P41" i="23"/>
  <c r="O41" i="23"/>
  <c r="AG41" i="23"/>
  <c r="L41" i="23"/>
  <c r="G41" i="23"/>
  <c r="K41" i="23"/>
  <c r="C41" i="23" s="1"/>
  <c r="I49" i="11" s="1"/>
  <c r="AC41" i="23"/>
  <c r="B42" i="23"/>
  <c r="I75" i="9"/>
  <c r="G110" i="11"/>
  <c r="N60" i="8"/>
  <c r="N63" i="8"/>
  <c r="AJ35" i="23"/>
  <c r="X35" i="23"/>
  <c r="V35" i="23"/>
  <c r="C28" i="25"/>
  <c r="E121" i="8" s="1"/>
  <c r="M103" i="9"/>
  <c r="M104" i="9"/>
  <c r="M102" i="9"/>
  <c r="N98" i="9"/>
  <c r="M101" i="9"/>
  <c r="P100" i="9"/>
  <c r="M97" i="9"/>
  <c r="Y175" i="23"/>
  <c r="W175" i="23"/>
  <c r="Y180" i="23"/>
  <c r="W180" i="23"/>
  <c r="W160" i="23"/>
  <c r="Y160" i="23"/>
  <c r="W144" i="23"/>
  <c r="Y144" i="23"/>
  <c r="W157" i="23"/>
  <c r="Y157" i="23"/>
  <c r="Y111" i="23"/>
  <c r="W111" i="23"/>
  <c r="W142" i="23"/>
  <c r="Y142" i="23"/>
  <c r="W136" i="23"/>
  <c r="Y136" i="23"/>
  <c r="Y225" i="23"/>
  <c r="W225" i="23"/>
  <c r="W172" i="23"/>
  <c r="Y172" i="23"/>
  <c r="Y220" i="23"/>
  <c r="W220" i="23"/>
  <c r="Y188" i="23"/>
  <c r="W188" i="23"/>
  <c r="Y214" i="23"/>
  <c r="W214" i="23"/>
  <c r="Y145" i="23"/>
  <c r="W145" i="23"/>
  <c r="Y182" i="23"/>
  <c r="W182" i="23"/>
  <c r="W149" i="23"/>
  <c r="Y149" i="23"/>
  <c r="D30" i="36"/>
  <c r="K120" i="8"/>
  <c r="U40" i="23"/>
  <c r="N95" i="9"/>
  <c r="G92" i="11"/>
  <c r="C42" i="10"/>
  <c r="D110" i="11"/>
  <c r="Q74" i="9"/>
  <c r="F92" i="11"/>
  <c r="G93" i="36"/>
  <c r="D94" i="36"/>
  <c r="E93" i="36"/>
  <c r="AD38" i="23"/>
  <c r="AP113" i="23"/>
  <c r="AS113" i="23"/>
  <c r="N217" i="8"/>
  <c r="N246" i="6"/>
  <c r="N111" i="23"/>
  <c r="Q215" i="8"/>
  <c r="D218" i="8"/>
  <c r="D221" i="8"/>
  <c r="O217" i="8"/>
  <c r="L38" i="19"/>
  <c r="D264" i="8"/>
  <c r="D85" i="6"/>
  <c r="D92" i="11"/>
  <c r="AJ111" i="23"/>
  <c r="AA36" i="23"/>
  <c r="AH111" i="23"/>
  <c r="AE112" i="23"/>
  <c r="G55" i="6"/>
  <c r="H45" i="6"/>
  <c r="I217" i="8"/>
  <c r="I246" i="6"/>
  <c r="P131" i="11"/>
  <c r="F22" i="11"/>
  <c r="P135" i="11"/>
  <c r="F26" i="11"/>
  <c r="O136" i="11"/>
  <c r="O142" i="11"/>
  <c r="O143" i="11"/>
  <c r="Q120" i="9"/>
  <c r="E33" i="9"/>
  <c r="E11" i="16"/>
  <c r="J38" i="19"/>
  <c r="D186" i="8"/>
  <c r="G42" i="52"/>
  <c r="F79" i="6"/>
  <c r="Q141" i="9"/>
  <c r="F33" i="9"/>
  <c r="P123" i="11"/>
  <c r="F14" i="11"/>
  <c r="L91" i="11"/>
  <c r="M186" i="6"/>
  <c r="O186" i="6"/>
  <c r="N91" i="11"/>
  <c r="F47" i="6"/>
  <c r="F53" i="6"/>
  <c r="F49" i="6"/>
  <c r="F52" i="6"/>
  <c r="F51" i="6"/>
  <c r="F46" i="6"/>
  <c r="F50" i="6"/>
  <c r="E128" i="11"/>
  <c r="AI43" i="23"/>
  <c r="AH43" i="23"/>
  <c r="T44" i="23"/>
  <c r="Q162" i="9"/>
  <c r="P99" i="9"/>
  <c r="K99" i="9"/>
  <c r="E99" i="9"/>
  <c r="M99" i="9"/>
  <c r="L99" i="9"/>
  <c r="F99" i="9"/>
  <c r="I99" i="9"/>
  <c r="N99" i="9"/>
  <c r="J99" i="9"/>
  <c r="H99" i="9"/>
  <c r="O99" i="9"/>
  <c r="G99" i="9"/>
  <c r="H92" i="11"/>
  <c r="AB36" i="23"/>
  <c r="X36" i="23"/>
  <c r="V36" i="23"/>
  <c r="D43" i="52"/>
  <c r="C43" i="52"/>
  <c r="G43" i="52"/>
  <c r="B44" i="52"/>
  <c r="D140" i="8"/>
  <c r="M56" i="11"/>
  <c r="F56" i="11"/>
  <c r="G90" i="52"/>
  <c r="I62" i="11"/>
  <c r="F84" i="9"/>
  <c r="F83" i="9"/>
  <c r="F77" i="9"/>
  <c r="F82" i="9"/>
  <c r="G78" i="9"/>
  <c r="I80" i="9"/>
  <c r="F81" i="9"/>
  <c r="H79" i="9"/>
  <c r="E112" i="23"/>
  <c r="D11" i="16"/>
  <c r="I25" i="6"/>
  <c r="D55" i="6"/>
  <c r="H54" i="6"/>
  <c r="F35" i="23"/>
  <c r="F84" i="6"/>
  <c r="F83" i="6"/>
  <c r="F80" i="6"/>
  <c r="F75" i="6"/>
  <c r="F81" i="6"/>
  <c r="F82" i="6"/>
  <c r="F78" i="6"/>
  <c r="C56" i="11"/>
  <c r="R72" i="8"/>
  <c r="D19" i="8"/>
  <c r="J91" i="11"/>
  <c r="K186" i="6"/>
  <c r="I56" i="11"/>
  <c r="L246" i="6"/>
  <c r="L217" i="8"/>
  <c r="L218" i="8"/>
  <c r="L221" i="8"/>
  <c r="K90" i="52"/>
  <c r="K129" i="9"/>
  <c r="E91" i="52"/>
  <c r="D91" i="52"/>
  <c r="H91" i="52"/>
  <c r="J91" i="52"/>
  <c r="I91" i="52"/>
  <c r="B92" i="52"/>
  <c r="C91" i="52"/>
  <c r="F91" i="52"/>
  <c r="C26" i="25"/>
  <c r="E118" i="8"/>
  <c r="N119" i="8"/>
  <c r="Q152" i="8"/>
  <c r="E19" i="8"/>
  <c r="C92" i="11"/>
  <c r="P92" i="11"/>
  <c r="E19" i="11"/>
  <c r="H108" i="8"/>
  <c r="I108" i="8"/>
  <c r="O108" i="8"/>
  <c r="F108" i="8"/>
  <c r="J108" i="8"/>
  <c r="E108" i="8"/>
  <c r="G108" i="8"/>
  <c r="N108" i="8"/>
  <c r="K108" i="8"/>
  <c r="L108" i="8"/>
  <c r="M108" i="8"/>
  <c r="P108" i="8"/>
  <c r="J244" i="6"/>
  <c r="I127" i="11"/>
  <c r="P127" i="11"/>
  <c r="F18" i="11"/>
  <c r="F45" i="6"/>
  <c r="F54" i="6"/>
  <c r="F77" i="6"/>
  <c r="H36" i="19"/>
  <c r="D13" i="16"/>
  <c r="G85" i="6"/>
  <c r="F100" i="20"/>
  <c r="F116" i="20"/>
  <c r="AJ43" i="23"/>
  <c r="E31" i="36"/>
  <c r="J27" i="25"/>
  <c r="C35" i="11"/>
  <c r="C28" i="10"/>
  <c r="H186" i="6"/>
  <c r="G91" i="11"/>
  <c r="D41" i="23"/>
  <c r="K119" i="8"/>
  <c r="N102" i="9"/>
  <c r="Q102" i="9" s="1"/>
  <c r="G20" i="9" s="1"/>
  <c r="N104" i="9"/>
  <c r="N103" i="9"/>
  <c r="O98" i="9"/>
  <c r="N97" i="9"/>
  <c r="N101" i="9"/>
  <c r="Q95" i="9"/>
  <c r="B43" i="23"/>
  <c r="L42" i="23"/>
  <c r="G42" i="23"/>
  <c r="K42" i="23"/>
  <c r="H42" i="23"/>
  <c r="AG42" i="23"/>
  <c r="Y42" i="23"/>
  <c r="P42" i="23"/>
  <c r="AC42" i="23"/>
  <c r="U42" i="23"/>
  <c r="O42" i="23"/>
  <c r="Q42" i="23"/>
  <c r="R42" i="23"/>
  <c r="O85" i="20"/>
  <c r="C25" i="10"/>
  <c r="C29" i="10"/>
  <c r="C39" i="11"/>
  <c r="C18" i="16"/>
  <c r="Q63" i="8"/>
  <c r="R54" i="8"/>
  <c r="D15" i="8"/>
  <c r="L32" i="36"/>
  <c r="B33" i="36"/>
  <c r="J32" i="36"/>
  <c r="G32" i="36"/>
  <c r="K32" i="36"/>
  <c r="N32" i="36"/>
  <c r="M32" i="36"/>
  <c r="O32" i="36"/>
  <c r="H32" i="36"/>
  <c r="I32" i="36"/>
  <c r="U41" i="23"/>
  <c r="L80" i="9"/>
  <c r="I81" i="9"/>
  <c r="I82" i="9"/>
  <c r="I83" i="9"/>
  <c r="I77" i="9"/>
  <c r="J78" i="9"/>
  <c r="J85" i="9" s="1"/>
  <c r="H84" i="11" s="1"/>
  <c r="I84" i="9"/>
  <c r="Q75" i="9"/>
  <c r="K79" i="9"/>
  <c r="Q97" i="9"/>
  <c r="G15" i="9"/>
  <c r="H84" i="6"/>
  <c r="H80" i="6"/>
  <c r="H75" i="6"/>
  <c r="H81" i="6"/>
  <c r="H78" i="6"/>
  <c r="H83" i="6"/>
  <c r="H82" i="6"/>
  <c r="H76" i="6"/>
  <c r="K139" i="8"/>
  <c r="K188" i="6"/>
  <c r="C60" i="11"/>
  <c r="B45" i="52"/>
  <c r="C44" i="52"/>
  <c r="D44" i="52"/>
  <c r="G44" i="52" s="1"/>
  <c r="D22" i="52"/>
  <c r="E12" i="16"/>
  <c r="E14" i="10"/>
  <c r="J217" i="8"/>
  <c r="J218" i="8"/>
  <c r="J221" i="8"/>
  <c r="J246" i="6"/>
  <c r="C31" i="10"/>
  <c r="D29" i="10" s="1"/>
  <c r="P56" i="11"/>
  <c r="D19" i="11"/>
  <c r="D143" i="8"/>
  <c r="D28" i="25"/>
  <c r="G94" i="36"/>
  <c r="D95" i="36"/>
  <c r="E94" i="36"/>
  <c r="F55" i="6"/>
  <c r="G91" i="52"/>
  <c r="J62" i="11"/>
  <c r="K91" i="52"/>
  <c r="L129" i="9"/>
  <c r="F85" i="6"/>
  <c r="H77" i="6"/>
  <c r="H38" i="19"/>
  <c r="C22" i="52"/>
  <c r="P244" i="6"/>
  <c r="E15" i="10"/>
  <c r="E20" i="10" s="1"/>
  <c r="D15" i="16"/>
  <c r="E10" i="16"/>
  <c r="O186" i="8"/>
  <c r="J186" i="8"/>
  <c r="F186" i="8"/>
  <c r="M186" i="8"/>
  <c r="E186" i="8"/>
  <c r="L186" i="8"/>
  <c r="K186" i="8"/>
  <c r="I186" i="8"/>
  <c r="H186" i="8"/>
  <c r="G186" i="8"/>
  <c r="N186" i="8"/>
  <c r="H49" i="6"/>
  <c r="H46" i="6"/>
  <c r="H52" i="6"/>
  <c r="H47" i="6"/>
  <c r="H53" i="6"/>
  <c r="H50" i="6"/>
  <c r="H51" i="6"/>
  <c r="H48" i="6"/>
  <c r="L264" i="8"/>
  <c r="J264" i="8"/>
  <c r="H264" i="8"/>
  <c r="K264" i="8"/>
  <c r="E264" i="8"/>
  <c r="N264" i="8"/>
  <c r="M264" i="8"/>
  <c r="G264" i="8"/>
  <c r="F264" i="8"/>
  <c r="I264" i="8"/>
  <c r="O264" i="8"/>
  <c r="G33" i="9"/>
  <c r="AH44" i="23"/>
  <c r="T45" i="23"/>
  <c r="AI44" i="23"/>
  <c r="AJ44" i="23" s="1"/>
  <c r="M139" i="8"/>
  <c r="M140" i="8"/>
  <c r="M143" i="8"/>
  <c r="M188" i="6"/>
  <c r="I218" i="8"/>
  <c r="I221" i="8"/>
  <c r="Q217" i="8"/>
  <c r="W36" i="23"/>
  <c r="O111" i="23"/>
  <c r="M36" i="23"/>
  <c r="E36" i="23"/>
  <c r="Q111" i="23"/>
  <c r="D42" i="10"/>
  <c r="E92" i="52"/>
  <c r="B93" i="52"/>
  <c r="H92" i="52"/>
  <c r="D92" i="52"/>
  <c r="J92" i="52"/>
  <c r="I92" i="52"/>
  <c r="F92" i="52"/>
  <c r="C92" i="52"/>
  <c r="H112" i="23"/>
  <c r="I37" i="23"/>
  <c r="F112" i="23"/>
  <c r="O139" i="8"/>
  <c r="O140" i="8"/>
  <c r="O143" i="8"/>
  <c r="O188" i="6"/>
  <c r="AF112" i="23"/>
  <c r="AE38" i="23"/>
  <c r="AF38" i="23"/>
  <c r="AQ113" i="23"/>
  <c r="AN114" i="23"/>
  <c r="R108" i="8"/>
  <c r="D21" i="8"/>
  <c r="L268" i="8"/>
  <c r="H79" i="6"/>
  <c r="M33" i="36"/>
  <c r="J33" i="36"/>
  <c r="N33" i="36"/>
  <c r="O33" i="36"/>
  <c r="H33" i="36"/>
  <c r="L33" i="36"/>
  <c r="G33" i="36"/>
  <c r="C33" i="36"/>
  <c r="L50" i="11"/>
  <c r="I33" i="36"/>
  <c r="B34" i="36"/>
  <c r="K33" i="36"/>
  <c r="H188" i="6"/>
  <c r="H139" i="8"/>
  <c r="H140" i="8"/>
  <c r="H143" i="8"/>
  <c r="H190" i="8"/>
  <c r="G114" i="20"/>
  <c r="G98" i="20"/>
  <c r="G116" i="20"/>
  <c r="E32" i="36"/>
  <c r="Q112" i="8"/>
  <c r="Q127" i="8"/>
  <c r="Q107" i="8"/>
  <c r="C32" i="36"/>
  <c r="K50" i="11"/>
  <c r="O43" i="23"/>
  <c r="P43" i="23"/>
  <c r="Y43" i="23"/>
  <c r="AG43" i="23"/>
  <c r="K43" i="23"/>
  <c r="G43" i="23"/>
  <c r="AC43" i="23"/>
  <c r="H43" i="23"/>
  <c r="L43" i="23"/>
  <c r="B44" i="23"/>
  <c r="R43" i="23"/>
  <c r="Q43" i="23"/>
  <c r="D145" i="24"/>
  <c r="P46" i="11"/>
  <c r="D9" i="11"/>
  <c r="F118" i="20"/>
  <c r="D42" i="23"/>
  <c r="L119" i="8"/>
  <c r="H55" i="6"/>
  <c r="D32" i="36"/>
  <c r="C42" i="23"/>
  <c r="J49" i="11"/>
  <c r="J37" i="23"/>
  <c r="I112" i="23"/>
  <c r="G112" i="23"/>
  <c r="D113" i="23"/>
  <c r="K92" i="52"/>
  <c r="M129" i="9"/>
  <c r="N36" i="23"/>
  <c r="F36" i="23"/>
  <c r="P111" i="23"/>
  <c r="M112" i="23"/>
  <c r="R111" i="23"/>
  <c r="K36" i="6"/>
  <c r="G95" i="36"/>
  <c r="D96" i="36"/>
  <c r="E95" i="36"/>
  <c r="D35" i="10"/>
  <c r="D22" i="10"/>
  <c r="D56" i="10"/>
  <c r="D19" i="10"/>
  <c r="D49" i="10"/>
  <c r="D24" i="10"/>
  <c r="D41" i="10"/>
  <c r="D60" i="10"/>
  <c r="D57" i="10"/>
  <c r="D14" i="10"/>
  <c r="D63" i="10"/>
  <c r="D59" i="10"/>
  <c r="D20" i="10"/>
  <c r="D47" i="10"/>
  <c r="D48" i="10"/>
  <c r="D31" i="10"/>
  <c r="D36" i="10"/>
  <c r="D15" i="10"/>
  <c r="D17" i="10"/>
  <c r="D39" i="10"/>
  <c r="D28" i="10"/>
  <c r="D25" i="10"/>
  <c r="I268" i="8"/>
  <c r="Q264" i="8"/>
  <c r="F21" i="8"/>
  <c r="G92" i="52"/>
  <c r="K62" i="11"/>
  <c r="F118" i="8"/>
  <c r="D26" i="25"/>
  <c r="F121" i="8"/>
  <c r="G14" i="10"/>
  <c r="F12" i="16"/>
  <c r="I14" i="10"/>
  <c r="K140" i="8"/>
  <c r="AO114" i="23"/>
  <c r="AG112" i="23"/>
  <c r="Z37" i="23"/>
  <c r="AI112" i="23"/>
  <c r="D61" i="11"/>
  <c r="AI45" i="23"/>
  <c r="T46" i="23"/>
  <c r="AH45" i="23"/>
  <c r="E15" i="16"/>
  <c r="F10" i="16"/>
  <c r="G15" i="10"/>
  <c r="G22" i="52"/>
  <c r="C45" i="52"/>
  <c r="B46" i="52"/>
  <c r="D45" i="52"/>
  <c r="H93" i="52"/>
  <c r="F93" i="52"/>
  <c r="E93" i="52"/>
  <c r="J93" i="52"/>
  <c r="D93" i="52"/>
  <c r="B94" i="52"/>
  <c r="I93" i="52"/>
  <c r="C93" i="52"/>
  <c r="Q186" i="8"/>
  <c r="E21" i="8"/>
  <c r="H85" i="6"/>
  <c r="C19" i="16"/>
  <c r="C20" i="16"/>
  <c r="C22" i="16"/>
  <c r="C46" i="11"/>
  <c r="J34" i="36"/>
  <c r="G34" i="36"/>
  <c r="B35" i="36"/>
  <c r="N34" i="36"/>
  <c r="L34" i="36"/>
  <c r="K34" i="36"/>
  <c r="I34" i="36"/>
  <c r="H34" i="36"/>
  <c r="O34" i="36"/>
  <c r="M34" i="36"/>
  <c r="K93" i="52"/>
  <c r="N129" i="9"/>
  <c r="U43" i="23"/>
  <c r="D33" i="36"/>
  <c r="M120" i="8"/>
  <c r="K27" i="25"/>
  <c r="D43" i="23"/>
  <c r="M119" i="8"/>
  <c r="H44" i="23"/>
  <c r="O44" i="23"/>
  <c r="B45" i="23"/>
  <c r="G44" i="23"/>
  <c r="Y44" i="23"/>
  <c r="P44" i="23"/>
  <c r="K44" i="23"/>
  <c r="AC44" i="23"/>
  <c r="R44" i="23"/>
  <c r="L44" i="23"/>
  <c r="Q44" i="23"/>
  <c r="AG44" i="23"/>
  <c r="C43" i="23"/>
  <c r="K49" i="11"/>
  <c r="E33" i="36"/>
  <c r="L27" i="25"/>
  <c r="AP114" i="23"/>
  <c r="AD39" i="23"/>
  <c r="AR114" i="23"/>
  <c r="AJ45" i="23"/>
  <c r="G93" i="52"/>
  <c r="L62" i="11"/>
  <c r="G45" i="52"/>
  <c r="F15" i="16"/>
  <c r="I15" i="10"/>
  <c r="I20" i="10"/>
  <c r="K143" i="8"/>
  <c r="D60" i="11"/>
  <c r="B47" i="52"/>
  <c r="C46" i="52"/>
  <c r="D46" i="52"/>
  <c r="AI46" i="23"/>
  <c r="AH46" i="23"/>
  <c r="T47" i="23"/>
  <c r="AA37" i="23"/>
  <c r="AB37" i="23"/>
  <c r="X37" i="23"/>
  <c r="AJ112" i="23"/>
  <c r="AH112" i="23"/>
  <c r="AE113" i="23"/>
  <c r="E96" i="36"/>
  <c r="G96" i="36"/>
  <c r="N112" i="23"/>
  <c r="E113" i="23"/>
  <c r="D94" i="52"/>
  <c r="F94" i="52"/>
  <c r="E94" i="52"/>
  <c r="J94" i="52"/>
  <c r="I94" i="52"/>
  <c r="B95" i="52"/>
  <c r="C94" i="52"/>
  <c r="H94" i="52"/>
  <c r="V37" i="23"/>
  <c r="G20" i="10"/>
  <c r="N35" i="36"/>
  <c r="H35" i="36"/>
  <c r="I35" i="36"/>
  <c r="M35" i="36"/>
  <c r="G35" i="36"/>
  <c r="K35" i="36"/>
  <c r="L35" i="36"/>
  <c r="O35" i="36"/>
  <c r="B36" i="36"/>
  <c r="J35" i="36"/>
  <c r="C44" i="23"/>
  <c r="L49" i="11"/>
  <c r="E34" i="36"/>
  <c r="M27" i="25"/>
  <c r="D44" i="23"/>
  <c r="D34" i="36"/>
  <c r="R45" i="23"/>
  <c r="Q45" i="23"/>
  <c r="G45" i="23"/>
  <c r="B46" i="23"/>
  <c r="P45" i="23"/>
  <c r="O45" i="23"/>
  <c r="AG45" i="23"/>
  <c r="Y45" i="23"/>
  <c r="L45" i="23"/>
  <c r="AC45" i="23"/>
  <c r="H45" i="23"/>
  <c r="K45" i="23"/>
  <c r="C34" i="36"/>
  <c r="E28" i="25"/>
  <c r="G121" i="8" s="1"/>
  <c r="O112" i="23"/>
  <c r="M37" i="23"/>
  <c r="E37" i="23"/>
  <c r="Q112" i="23"/>
  <c r="D95" i="52"/>
  <c r="D26" i="52"/>
  <c r="C95" i="52"/>
  <c r="H95" i="52"/>
  <c r="J95" i="52"/>
  <c r="J26" i="52"/>
  <c r="I95" i="52"/>
  <c r="I26" i="52"/>
  <c r="E95" i="52"/>
  <c r="E26" i="52"/>
  <c r="F95" i="52"/>
  <c r="F26" i="52"/>
  <c r="B96" i="52"/>
  <c r="AF113" i="23"/>
  <c r="B48" i="52"/>
  <c r="D47" i="52"/>
  <c r="C47" i="52"/>
  <c r="G94" i="52"/>
  <c r="M62" i="11"/>
  <c r="C26" i="52"/>
  <c r="F113" i="23"/>
  <c r="I38" i="23"/>
  <c r="H113" i="23"/>
  <c r="AI47" i="23"/>
  <c r="T48" i="23"/>
  <c r="AH47" i="23"/>
  <c r="G46" i="52"/>
  <c r="W37" i="23"/>
  <c r="K94" i="52"/>
  <c r="O129" i="9"/>
  <c r="AE39" i="23"/>
  <c r="AF39" i="23"/>
  <c r="AS114" i="23"/>
  <c r="AQ114" i="23"/>
  <c r="AN115" i="23"/>
  <c r="AJ46" i="23"/>
  <c r="O120" i="8"/>
  <c r="D35" i="36"/>
  <c r="E13" i="36" s="1"/>
  <c r="P120" i="8"/>
  <c r="D45" i="23"/>
  <c r="O119" i="8"/>
  <c r="C45" i="23"/>
  <c r="M49" i="11"/>
  <c r="E35" i="36"/>
  <c r="G46" i="23"/>
  <c r="O46" i="23"/>
  <c r="Y46" i="23"/>
  <c r="K46" i="23"/>
  <c r="L46" i="23"/>
  <c r="AC46" i="23"/>
  <c r="AG46" i="23"/>
  <c r="H46" i="23"/>
  <c r="P46" i="23"/>
  <c r="D46" i="23" s="1"/>
  <c r="P119" i="8" s="1"/>
  <c r="R46" i="23"/>
  <c r="B47" i="23"/>
  <c r="Q46" i="23"/>
  <c r="U45" i="23"/>
  <c r="M50" i="11"/>
  <c r="B37" i="36"/>
  <c r="L36" i="36"/>
  <c r="H36" i="36"/>
  <c r="G36" i="36"/>
  <c r="J36" i="36"/>
  <c r="I36" i="36"/>
  <c r="M36" i="36"/>
  <c r="N36" i="36"/>
  <c r="K36" i="36"/>
  <c r="O36" i="36"/>
  <c r="K95" i="52"/>
  <c r="P129" i="9"/>
  <c r="E42" i="9" s="1"/>
  <c r="C35" i="36"/>
  <c r="N50" i="11"/>
  <c r="J38" i="23"/>
  <c r="I113" i="23"/>
  <c r="G113" i="23"/>
  <c r="D114" i="23"/>
  <c r="G47" i="52"/>
  <c r="E26" i="25"/>
  <c r="G118" i="8"/>
  <c r="AJ47" i="23"/>
  <c r="H26" i="52"/>
  <c r="K26" i="52"/>
  <c r="AG113" i="23"/>
  <c r="Z38" i="23"/>
  <c r="AI113" i="23"/>
  <c r="G95" i="52"/>
  <c r="N62" i="11"/>
  <c r="AO115" i="23"/>
  <c r="G26" i="52"/>
  <c r="C48" i="52"/>
  <c r="B49" i="52"/>
  <c r="D48" i="52"/>
  <c r="E61" i="11"/>
  <c r="AH48" i="23"/>
  <c r="AI48" i="23"/>
  <c r="AJ48" i="23" s="1"/>
  <c r="T49" i="23"/>
  <c r="H96" i="52"/>
  <c r="I96" i="52"/>
  <c r="B97" i="52"/>
  <c r="F96" i="52"/>
  <c r="E96" i="52"/>
  <c r="J96" i="52"/>
  <c r="D96" i="52"/>
  <c r="C96" i="52"/>
  <c r="N37" i="23"/>
  <c r="F37" i="23"/>
  <c r="R112" i="23"/>
  <c r="P112" i="23"/>
  <c r="M113" i="23"/>
  <c r="G47" i="23"/>
  <c r="AG47" i="23"/>
  <c r="L47" i="23"/>
  <c r="Q47" i="23"/>
  <c r="AC47" i="23"/>
  <c r="K47" i="23"/>
  <c r="O47" i="23"/>
  <c r="H47" i="23"/>
  <c r="Y47" i="23"/>
  <c r="U47" i="23"/>
  <c r="P47" i="23"/>
  <c r="D47" i="23" s="1"/>
  <c r="D197" i="8" s="1"/>
  <c r="B48" i="23"/>
  <c r="R47" i="23"/>
  <c r="E36" i="36"/>
  <c r="U46" i="23"/>
  <c r="G37" i="36"/>
  <c r="M37" i="36"/>
  <c r="B38" i="36"/>
  <c r="K37" i="36"/>
  <c r="N37" i="36"/>
  <c r="H37" i="36"/>
  <c r="D37" i="36"/>
  <c r="E198" i="8"/>
  <c r="J37" i="36"/>
  <c r="I37" i="36"/>
  <c r="L37" i="36"/>
  <c r="O37" i="36"/>
  <c r="N27" i="25"/>
  <c r="D36" i="36"/>
  <c r="D198" i="8"/>
  <c r="C36" i="36"/>
  <c r="C86" i="11"/>
  <c r="C46" i="23"/>
  <c r="N113" i="23"/>
  <c r="G96" i="52"/>
  <c r="C98" i="11"/>
  <c r="T50" i="23"/>
  <c r="AI49" i="23"/>
  <c r="AH49" i="23"/>
  <c r="V38" i="23"/>
  <c r="E114" i="23"/>
  <c r="K96" i="52"/>
  <c r="E150" i="9"/>
  <c r="D49" i="52"/>
  <c r="C49" i="52"/>
  <c r="B50" i="52"/>
  <c r="AD40" i="23"/>
  <c r="AP115" i="23"/>
  <c r="AR115" i="23"/>
  <c r="G48" i="52"/>
  <c r="J97" i="52"/>
  <c r="E97" i="52"/>
  <c r="C97" i="52"/>
  <c r="H97" i="52"/>
  <c r="D97" i="52"/>
  <c r="B98" i="52"/>
  <c r="I97" i="52"/>
  <c r="K97" i="52" s="1"/>
  <c r="F150" i="9" s="1"/>
  <c r="F97" i="52"/>
  <c r="AA38" i="23"/>
  <c r="AH113" i="23"/>
  <c r="AE114" i="23"/>
  <c r="AJ113" i="23"/>
  <c r="O38" i="36"/>
  <c r="L38" i="36"/>
  <c r="M38" i="36"/>
  <c r="G38" i="36"/>
  <c r="I38" i="36"/>
  <c r="E38" i="36"/>
  <c r="N38" i="36"/>
  <c r="K38" i="36"/>
  <c r="H38" i="36"/>
  <c r="D38" i="36"/>
  <c r="F198" i="8"/>
  <c r="J38" i="36"/>
  <c r="C38" i="36" s="1"/>
  <c r="E86" i="11" s="1"/>
  <c r="B39" i="36"/>
  <c r="C47" i="23"/>
  <c r="C85" i="11"/>
  <c r="E37" i="36"/>
  <c r="N49" i="11"/>
  <c r="D12" i="23"/>
  <c r="R48" i="23"/>
  <c r="G48" i="23"/>
  <c r="B49" i="23"/>
  <c r="K48" i="23"/>
  <c r="P48" i="23"/>
  <c r="L48" i="23"/>
  <c r="H48" i="23"/>
  <c r="Y48" i="23"/>
  <c r="AC48" i="23"/>
  <c r="Q48" i="23"/>
  <c r="O48" i="23"/>
  <c r="AG48" i="23"/>
  <c r="AJ49" i="23"/>
  <c r="C37" i="36"/>
  <c r="D86" i="11"/>
  <c r="E98" i="52"/>
  <c r="I98" i="52"/>
  <c r="C98" i="52"/>
  <c r="D98" i="52"/>
  <c r="H98" i="52"/>
  <c r="B99" i="52"/>
  <c r="F98" i="52"/>
  <c r="J98" i="52"/>
  <c r="W38" i="23"/>
  <c r="AE40" i="23"/>
  <c r="AF40" i="23"/>
  <c r="AQ115" i="23"/>
  <c r="AN116" i="23"/>
  <c r="AS115" i="23"/>
  <c r="G97" i="52"/>
  <c r="D98" i="11"/>
  <c r="T51" i="23"/>
  <c r="AH50" i="23"/>
  <c r="AI50" i="23"/>
  <c r="AJ50" i="23" s="1"/>
  <c r="AF114" i="23"/>
  <c r="G49" i="52"/>
  <c r="B51" i="52"/>
  <c r="C50" i="52"/>
  <c r="D50" i="52"/>
  <c r="I39" i="23"/>
  <c r="H114" i="23"/>
  <c r="F114" i="23"/>
  <c r="M38" i="23"/>
  <c r="E38" i="23"/>
  <c r="O113" i="23"/>
  <c r="Q113" i="23"/>
  <c r="AB38" i="23"/>
  <c r="X38" i="23"/>
  <c r="F28" i="25"/>
  <c r="H121" i="8" s="1"/>
  <c r="L49" i="23"/>
  <c r="H49" i="23"/>
  <c r="O49" i="23"/>
  <c r="AC49" i="23"/>
  <c r="G49" i="23"/>
  <c r="K49" i="23"/>
  <c r="AG49" i="23"/>
  <c r="Y49" i="23"/>
  <c r="U49" i="23"/>
  <c r="Q49" i="23"/>
  <c r="B50" i="23"/>
  <c r="P49" i="23"/>
  <c r="R49" i="23"/>
  <c r="D48" i="23"/>
  <c r="E197" i="8"/>
  <c r="H39" i="36"/>
  <c r="O39" i="36"/>
  <c r="I39" i="36"/>
  <c r="B40" i="36"/>
  <c r="G39" i="36"/>
  <c r="J39" i="36"/>
  <c r="N39" i="36"/>
  <c r="M39" i="36"/>
  <c r="L39" i="36"/>
  <c r="K39" i="36"/>
  <c r="D39" i="36" s="1"/>
  <c r="G198" i="8" s="1"/>
  <c r="U48" i="23"/>
  <c r="Z39" i="23"/>
  <c r="AG114" i="23"/>
  <c r="AI114" i="23"/>
  <c r="AH51" i="23"/>
  <c r="T52" i="23"/>
  <c r="AI51" i="23"/>
  <c r="G98" i="52"/>
  <c r="E98" i="11"/>
  <c r="J39" i="23"/>
  <c r="I114" i="23"/>
  <c r="G114" i="23"/>
  <c r="D115" i="23"/>
  <c r="AO116" i="23"/>
  <c r="F26" i="25"/>
  <c r="H118" i="8"/>
  <c r="D51" i="52"/>
  <c r="C51" i="52"/>
  <c r="B52" i="52"/>
  <c r="F61" i="11"/>
  <c r="K98" i="52"/>
  <c r="G150" i="9"/>
  <c r="N38" i="23"/>
  <c r="F38" i="23"/>
  <c r="R113" i="23"/>
  <c r="P113" i="23"/>
  <c r="M114" i="23"/>
  <c r="H99" i="52"/>
  <c r="I99" i="52"/>
  <c r="B100" i="52"/>
  <c r="D99" i="52"/>
  <c r="J99" i="52"/>
  <c r="E99" i="52"/>
  <c r="C99" i="52"/>
  <c r="F99" i="52"/>
  <c r="G50" i="52"/>
  <c r="C49" i="23"/>
  <c r="E85" i="11"/>
  <c r="Y50" i="23"/>
  <c r="P50" i="23"/>
  <c r="B51" i="23"/>
  <c r="Q50" i="23"/>
  <c r="AC50" i="23"/>
  <c r="R50" i="23"/>
  <c r="K50" i="23"/>
  <c r="G50" i="23"/>
  <c r="O50" i="23"/>
  <c r="AG50" i="23"/>
  <c r="H50" i="23"/>
  <c r="L50" i="23"/>
  <c r="D50" i="23" s="1"/>
  <c r="G197" i="8" s="1"/>
  <c r="G51" i="52"/>
  <c r="AJ51" i="23"/>
  <c r="E39" i="36"/>
  <c r="D49" i="23"/>
  <c r="F197" i="8"/>
  <c r="N40" i="36"/>
  <c r="B41" i="36"/>
  <c r="J40" i="36"/>
  <c r="H40" i="36"/>
  <c r="O40" i="36"/>
  <c r="M40" i="36"/>
  <c r="G40" i="36"/>
  <c r="K40" i="36"/>
  <c r="I40" i="36"/>
  <c r="L40" i="36"/>
  <c r="N114" i="23"/>
  <c r="AP116" i="23"/>
  <c r="AD41" i="23"/>
  <c r="AR116" i="23"/>
  <c r="G99" i="52"/>
  <c r="F98" i="11"/>
  <c r="D52" i="52"/>
  <c r="C52" i="52"/>
  <c r="B53" i="52"/>
  <c r="C100" i="52"/>
  <c r="I100" i="52"/>
  <c r="H100" i="52"/>
  <c r="D100" i="52"/>
  <c r="F100" i="52"/>
  <c r="J100" i="52"/>
  <c r="E100" i="52"/>
  <c r="B101" i="52"/>
  <c r="F60" i="11"/>
  <c r="T53" i="23"/>
  <c r="AI52" i="23"/>
  <c r="AH52" i="23"/>
  <c r="V39" i="23"/>
  <c r="K99" i="52"/>
  <c r="H150" i="9"/>
  <c r="E115" i="23"/>
  <c r="AA39" i="23"/>
  <c r="W39" i="23"/>
  <c r="AH114" i="23"/>
  <c r="AE115" i="23"/>
  <c r="AJ114" i="23"/>
  <c r="H41" i="36"/>
  <c r="O41" i="36"/>
  <c r="M41" i="36"/>
  <c r="K41" i="36"/>
  <c r="N41" i="36"/>
  <c r="B42" i="36"/>
  <c r="I41" i="36"/>
  <c r="L41" i="36"/>
  <c r="G41" i="36"/>
  <c r="J41" i="36"/>
  <c r="AC51" i="23"/>
  <c r="Y51" i="23"/>
  <c r="Q51" i="23"/>
  <c r="H51" i="23"/>
  <c r="G51" i="23"/>
  <c r="L51" i="23"/>
  <c r="R51" i="23"/>
  <c r="K51" i="23"/>
  <c r="B52" i="23"/>
  <c r="P51" i="23"/>
  <c r="AG51" i="23"/>
  <c r="O51" i="23"/>
  <c r="C40" i="36"/>
  <c r="G86" i="11"/>
  <c r="D40" i="36"/>
  <c r="H198" i="8"/>
  <c r="C50" i="23"/>
  <c r="F85" i="11"/>
  <c r="AJ52" i="23"/>
  <c r="E40" i="36"/>
  <c r="U50" i="23"/>
  <c r="C53" i="52"/>
  <c r="B54" i="52"/>
  <c r="D53" i="52"/>
  <c r="G53" i="52" s="1"/>
  <c r="AF115" i="23"/>
  <c r="O114" i="23"/>
  <c r="M39" i="23"/>
  <c r="E39" i="23"/>
  <c r="Q114" i="23"/>
  <c r="AB39" i="23"/>
  <c r="X39" i="23"/>
  <c r="K100" i="52"/>
  <c r="I150" i="9"/>
  <c r="G61" i="11"/>
  <c r="G28" i="25"/>
  <c r="AH53" i="23"/>
  <c r="AI53" i="23"/>
  <c r="T54" i="23"/>
  <c r="C101" i="52"/>
  <c r="F101" i="52"/>
  <c r="J101" i="52"/>
  <c r="E101" i="52"/>
  <c r="I101" i="52"/>
  <c r="B102" i="52"/>
  <c r="D101" i="52"/>
  <c r="H101" i="52"/>
  <c r="AE41" i="23"/>
  <c r="AF41" i="23"/>
  <c r="AQ116" i="23"/>
  <c r="AN117" i="23"/>
  <c r="AS116" i="23"/>
  <c r="I40" i="23"/>
  <c r="H115" i="23"/>
  <c r="F115" i="23"/>
  <c r="G52" i="52"/>
  <c r="G100" i="52"/>
  <c r="G98" i="11"/>
  <c r="C41" i="36"/>
  <c r="H86" i="11"/>
  <c r="D41" i="36"/>
  <c r="I198" i="8"/>
  <c r="P52" i="23"/>
  <c r="AC52" i="23"/>
  <c r="L52" i="23"/>
  <c r="G52" i="23"/>
  <c r="K52" i="23"/>
  <c r="H52" i="23"/>
  <c r="Y52" i="23"/>
  <c r="O52" i="23"/>
  <c r="AG52" i="23"/>
  <c r="R52" i="23"/>
  <c r="Q52" i="23"/>
  <c r="B53" i="23"/>
  <c r="AJ53" i="23"/>
  <c r="C51" i="23"/>
  <c r="G85" i="11"/>
  <c r="E41" i="36"/>
  <c r="H42" i="36"/>
  <c r="I42" i="36"/>
  <c r="B43" i="36"/>
  <c r="L42" i="36"/>
  <c r="K42" i="36"/>
  <c r="O42" i="36"/>
  <c r="N42" i="36"/>
  <c r="J42" i="36"/>
  <c r="G42" i="36"/>
  <c r="M42" i="36"/>
  <c r="U51" i="23"/>
  <c r="H102" i="52"/>
  <c r="E102" i="52"/>
  <c r="C102" i="52"/>
  <c r="I102" i="52"/>
  <c r="B103" i="52"/>
  <c r="J102" i="52"/>
  <c r="F102" i="52"/>
  <c r="D102" i="52"/>
  <c r="J40" i="23"/>
  <c r="I115" i="23"/>
  <c r="G115" i="23"/>
  <c r="D116" i="23"/>
  <c r="AO117" i="23"/>
  <c r="N39" i="23"/>
  <c r="F39" i="23"/>
  <c r="R114" i="23"/>
  <c r="P114" i="23"/>
  <c r="M115" i="23"/>
  <c r="K101" i="52"/>
  <c r="J150" i="9"/>
  <c r="T55" i="23"/>
  <c r="AH54" i="23"/>
  <c r="AI54" i="23"/>
  <c r="G26" i="25"/>
  <c r="I118" i="8"/>
  <c r="C54" i="52"/>
  <c r="D54" i="52"/>
  <c r="B55" i="52"/>
  <c r="G101" i="52"/>
  <c r="H98" i="11"/>
  <c r="AG115" i="23"/>
  <c r="Z40" i="23"/>
  <c r="AI115" i="23"/>
  <c r="O43" i="36"/>
  <c r="J43" i="36"/>
  <c r="L43" i="36"/>
  <c r="H43" i="36"/>
  <c r="I43" i="36"/>
  <c r="E43" i="36"/>
  <c r="B44" i="36"/>
  <c r="G43" i="36"/>
  <c r="N43" i="36"/>
  <c r="K43" i="36"/>
  <c r="M43" i="36"/>
  <c r="U52" i="23"/>
  <c r="H53" i="23"/>
  <c r="R53" i="23"/>
  <c r="L53" i="23"/>
  <c r="AG53" i="23"/>
  <c r="G53" i="23"/>
  <c r="AC53" i="23"/>
  <c r="O53" i="23"/>
  <c r="P53" i="23"/>
  <c r="K53" i="23"/>
  <c r="B54" i="23"/>
  <c r="Q53" i="23"/>
  <c r="Y53" i="23"/>
  <c r="U53" i="23"/>
  <c r="C52" i="23"/>
  <c r="H85" i="11"/>
  <c r="C42" i="36"/>
  <c r="I86" i="11"/>
  <c r="D42" i="36"/>
  <c r="J198" i="8"/>
  <c r="E42" i="36"/>
  <c r="D52" i="23"/>
  <c r="I197" i="8"/>
  <c r="G60" i="11"/>
  <c r="AP117" i="23"/>
  <c r="AD42" i="23"/>
  <c r="AR117" i="23"/>
  <c r="J103" i="52"/>
  <c r="I103" i="52"/>
  <c r="D103" i="52"/>
  <c r="C103" i="52"/>
  <c r="B104" i="52"/>
  <c r="F103" i="52"/>
  <c r="E103" i="52"/>
  <c r="H103" i="52"/>
  <c r="K102" i="52"/>
  <c r="K150" i="9"/>
  <c r="B56" i="52"/>
  <c r="D55" i="52"/>
  <c r="C55" i="52"/>
  <c r="AA40" i="23"/>
  <c r="W40" i="23"/>
  <c r="AJ115" i="23"/>
  <c r="AH115" i="23"/>
  <c r="AE116" i="23"/>
  <c r="T56" i="23"/>
  <c r="AI55" i="23"/>
  <c r="AH55" i="23"/>
  <c r="N115" i="23"/>
  <c r="G54" i="52"/>
  <c r="V40" i="23"/>
  <c r="E116" i="23"/>
  <c r="G102" i="52"/>
  <c r="I98" i="11"/>
  <c r="AJ54" i="23"/>
  <c r="H54" i="23"/>
  <c r="R54" i="23"/>
  <c r="O54" i="23"/>
  <c r="Y54" i="23"/>
  <c r="L54" i="23"/>
  <c r="AC54" i="23"/>
  <c r="K54" i="23"/>
  <c r="Q54" i="23"/>
  <c r="P54" i="23"/>
  <c r="AG54" i="23"/>
  <c r="B55" i="23"/>
  <c r="G54" i="23"/>
  <c r="C54" i="23"/>
  <c r="J85" i="11"/>
  <c r="C53" i="23"/>
  <c r="I85" i="11"/>
  <c r="AJ55" i="23"/>
  <c r="G55" i="52"/>
  <c r="G44" i="36"/>
  <c r="J44" i="36"/>
  <c r="O44" i="36"/>
  <c r="N44" i="36"/>
  <c r="H44" i="36"/>
  <c r="K44" i="36"/>
  <c r="D44" i="36" s="1"/>
  <c r="L198" i="8" s="1"/>
  <c r="B45" i="36"/>
  <c r="M44" i="36"/>
  <c r="I44" i="36"/>
  <c r="L44" i="36"/>
  <c r="E44" i="36" s="1"/>
  <c r="AB40" i="23"/>
  <c r="X40" i="23"/>
  <c r="C43" i="36"/>
  <c r="J86" i="11"/>
  <c r="D43" i="36"/>
  <c r="K198" i="8"/>
  <c r="D56" i="52"/>
  <c r="D23" i="52"/>
  <c r="B57" i="52"/>
  <c r="C56" i="52"/>
  <c r="O115" i="23"/>
  <c r="M40" i="23"/>
  <c r="E40" i="23"/>
  <c r="Q115" i="23"/>
  <c r="AF116" i="23"/>
  <c r="K103" i="52"/>
  <c r="L150" i="9"/>
  <c r="G103" i="52"/>
  <c r="J98" i="11"/>
  <c r="I41" i="23"/>
  <c r="H116" i="23"/>
  <c r="F116" i="23"/>
  <c r="AI56" i="23"/>
  <c r="T57" i="23"/>
  <c r="AH56" i="23"/>
  <c r="AJ56" i="23"/>
  <c r="D104" i="52"/>
  <c r="I104" i="52"/>
  <c r="C104" i="52"/>
  <c r="H104" i="52"/>
  <c r="E104" i="52"/>
  <c r="J104" i="52"/>
  <c r="K104" i="52" s="1"/>
  <c r="M150" i="9" s="1"/>
  <c r="B105" i="52"/>
  <c r="F104" i="52"/>
  <c r="H28" i="25"/>
  <c r="J121" i="8" s="1"/>
  <c r="H61" i="11"/>
  <c r="AE42" i="23"/>
  <c r="AF42" i="23"/>
  <c r="AS117" i="23"/>
  <c r="AQ117" i="23"/>
  <c r="AN118" i="23"/>
  <c r="D54" i="23"/>
  <c r="K197" i="8"/>
  <c r="G45" i="36"/>
  <c r="J45" i="36"/>
  <c r="K45" i="36"/>
  <c r="M45" i="36"/>
  <c r="B46" i="36"/>
  <c r="L45" i="36"/>
  <c r="I45" i="36"/>
  <c r="H45" i="36"/>
  <c r="N45" i="36"/>
  <c r="D45" i="36" s="1"/>
  <c r="M198" i="8" s="1"/>
  <c r="O45" i="36"/>
  <c r="B56" i="23"/>
  <c r="R55" i="23"/>
  <c r="H55" i="23"/>
  <c r="O55" i="23"/>
  <c r="AC55" i="23"/>
  <c r="Y55" i="23"/>
  <c r="K55" i="23"/>
  <c r="G55" i="23"/>
  <c r="L55" i="23"/>
  <c r="AG55" i="23"/>
  <c r="Q55" i="23"/>
  <c r="P55" i="23"/>
  <c r="U54" i="23"/>
  <c r="C57" i="52"/>
  <c r="B58" i="52"/>
  <c r="D57" i="52"/>
  <c r="AO118" i="23"/>
  <c r="I105" i="52"/>
  <c r="H105" i="52"/>
  <c r="F105" i="52"/>
  <c r="C105" i="52"/>
  <c r="J105" i="52"/>
  <c r="D105" i="52"/>
  <c r="B106" i="52"/>
  <c r="E105" i="52"/>
  <c r="AI57" i="23"/>
  <c r="T58" i="23"/>
  <c r="AH57" i="23"/>
  <c r="AG116" i="23"/>
  <c r="Z41" i="23"/>
  <c r="AI116" i="23"/>
  <c r="G56" i="52"/>
  <c r="C23" i="52"/>
  <c r="G104" i="52"/>
  <c r="K98" i="11"/>
  <c r="N40" i="23"/>
  <c r="F40" i="23"/>
  <c r="H60" i="11"/>
  <c r="R115" i="23"/>
  <c r="P115" i="23"/>
  <c r="M116" i="23"/>
  <c r="J41" i="23"/>
  <c r="I116" i="23"/>
  <c r="G116" i="23"/>
  <c r="D117" i="23"/>
  <c r="H26" i="25"/>
  <c r="J118" i="8"/>
  <c r="U55" i="23"/>
  <c r="B47" i="36"/>
  <c r="K46" i="36"/>
  <c r="G46" i="36"/>
  <c r="L46" i="36"/>
  <c r="O46" i="36"/>
  <c r="H46" i="36"/>
  <c r="N46" i="36"/>
  <c r="M46" i="36"/>
  <c r="I46" i="36"/>
  <c r="E46" i="36"/>
  <c r="J46" i="36"/>
  <c r="K105" i="52"/>
  <c r="N150" i="9"/>
  <c r="D55" i="23"/>
  <c r="L197" i="8"/>
  <c r="C45" i="36"/>
  <c r="C55" i="23"/>
  <c r="K85" i="11"/>
  <c r="K56" i="23"/>
  <c r="AG56" i="23"/>
  <c r="L56" i="23"/>
  <c r="AC56" i="23"/>
  <c r="H56" i="23"/>
  <c r="Q56" i="23"/>
  <c r="R56" i="23"/>
  <c r="O56" i="23"/>
  <c r="Y56" i="23"/>
  <c r="U56" i="23"/>
  <c r="P56" i="23"/>
  <c r="D56" i="23" s="1"/>
  <c r="M197" i="8" s="1"/>
  <c r="G56" i="23"/>
  <c r="B57" i="23"/>
  <c r="E45" i="36"/>
  <c r="G23" i="52"/>
  <c r="AA41" i="23"/>
  <c r="W41" i="23"/>
  <c r="I61" i="11"/>
  <c r="AJ116" i="23"/>
  <c r="AH116" i="23"/>
  <c r="AE117" i="23"/>
  <c r="G57" i="52"/>
  <c r="AJ57" i="23"/>
  <c r="G105" i="52"/>
  <c r="L98" i="11"/>
  <c r="E117" i="23"/>
  <c r="N116" i="23"/>
  <c r="V41" i="23"/>
  <c r="I28" i="25"/>
  <c r="K121" i="8" s="1"/>
  <c r="AB41" i="23"/>
  <c r="X41" i="23"/>
  <c r="AP118" i="23"/>
  <c r="AD43" i="23"/>
  <c r="AR118" i="23"/>
  <c r="D58" i="52"/>
  <c r="B59" i="52"/>
  <c r="C58" i="52"/>
  <c r="AI58" i="23"/>
  <c r="T59" i="23"/>
  <c r="AH58" i="23"/>
  <c r="AJ58" i="23"/>
  <c r="C106" i="52"/>
  <c r="B107" i="52"/>
  <c r="F106" i="52"/>
  <c r="I106" i="52"/>
  <c r="H106" i="52"/>
  <c r="D106" i="52"/>
  <c r="J106" i="52"/>
  <c r="E106" i="52"/>
  <c r="L86" i="11"/>
  <c r="J47" i="36"/>
  <c r="H47" i="36"/>
  <c r="M47" i="36"/>
  <c r="I47" i="36"/>
  <c r="O47" i="36"/>
  <c r="L47" i="36"/>
  <c r="K47" i="36"/>
  <c r="N47" i="36"/>
  <c r="B48" i="36"/>
  <c r="G47" i="36"/>
  <c r="G106" i="52"/>
  <c r="M98" i="11"/>
  <c r="C56" i="23"/>
  <c r="D46" i="36"/>
  <c r="L57" i="23"/>
  <c r="AC57" i="23"/>
  <c r="Q57" i="23"/>
  <c r="H57" i="23"/>
  <c r="B58" i="23"/>
  <c r="G57" i="23"/>
  <c r="R57" i="23"/>
  <c r="Y57" i="23"/>
  <c r="O57" i="23"/>
  <c r="AG57" i="23"/>
  <c r="P57" i="23"/>
  <c r="K57" i="23"/>
  <c r="C46" i="36"/>
  <c r="M86" i="11"/>
  <c r="C59" i="52"/>
  <c r="D59" i="52"/>
  <c r="B60" i="52"/>
  <c r="AE43" i="23"/>
  <c r="AS118" i="23"/>
  <c r="AQ118" i="23"/>
  <c r="AN119" i="23"/>
  <c r="O116" i="23"/>
  <c r="M41" i="23"/>
  <c r="E41" i="23"/>
  <c r="Q116" i="23"/>
  <c r="D107" i="52"/>
  <c r="D27" i="52"/>
  <c r="I107" i="52"/>
  <c r="I27" i="52"/>
  <c r="C107" i="52"/>
  <c r="J107" i="52"/>
  <c r="J27" i="52"/>
  <c r="H107" i="52"/>
  <c r="F107" i="52"/>
  <c r="F27" i="52"/>
  <c r="E107" i="52"/>
  <c r="E27" i="52"/>
  <c r="B108" i="52"/>
  <c r="K106" i="52"/>
  <c r="O150" i="9"/>
  <c r="G58" i="52"/>
  <c r="AF43" i="23"/>
  <c r="F117" i="23"/>
  <c r="H117" i="23"/>
  <c r="I42" i="23"/>
  <c r="AI59" i="23"/>
  <c r="T60" i="23"/>
  <c r="AH59" i="23"/>
  <c r="AF117" i="23"/>
  <c r="K58" i="23"/>
  <c r="L58" i="23"/>
  <c r="Y58" i="23"/>
  <c r="O58" i="23"/>
  <c r="AC58" i="23"/>
  <c r="P58" i="23"/>
  <c r="H58" i="23"/>
  <c r="D58" i="23"/>
  <c r="O197" i="8"/>
  <c r="Q58" i="23"/>
  <c r="AG58" i="23"/>
  <c r="G58" i="23"/>
  <c r="C58" i="23"/>
  <c r="N85" i="11"/>
  <c r="R58" i="23"/>
  <c r="B59" i="23"/>
  <c r="L85" i="11"/>
  <c r="C57" i="23"/>
  <c r="M85" i="11"/>
  <c r="E47" i="36"/>
  <c r="F14" i="36"/>
  <c r="L48" i="36"/>
  <c r="B49" i="36"/>
  <c r="K48" i="36"/>
  <c r="N48" i="36"/>
  <c r="G48" i="36"/>
  <c r="J48" i="36"/>
  <c r="M48" i="36"/>
  <c r="I48" i="36"/>
  <c r="O48" i="36"/>
  <c r="E48" i="36" s="1"/>
  <c r="H48" i="36"/>
  <c r="D48" i="36"/>
  <c r="D276" i="8"/>
  <c r="AJ59" i="23"/>
  <c r="G59" i="52"/>
  <c r="N198" i="8"/>
  <c r="U57" i="23"/>
  <c r="D57" i="23"/>
  <c r="N197" i="8"/>
  <c r="C47" i="36"/>
  <c r="N86" i="11"/>
  <c r="D47" i="36"/>
  <c r="O198" i="8"/>
  <c r="G107" i="52"/>
  <c r="N98" i="11"/>
  <c r="C27" i="52"/>
  <c r="N41" i="23"/>
  <c r="F41" i="23"/>
  <c r="I60" i="11"/>
  <c r="R116" i="23"/>
  <c r="P116" i="23"/>
  <c r="M117" i="23"/>
  <c r="C60" i="52"/>
  <c r="D60" i="52"/>
  <c r="B61" i="52"/>
  <c r="J42" i="23"/>
  <c r="I117" i="23"/>
  <c r="G117" i="23"/>
  <c r="D118" i="23"/>
  <c r="J108" i="52"/>
  <c r="F108" i="52"/>
  <c r="I108" i="52"/>
  <c r="B109" i="52"/>
  <c r="E108" i="52"/>
  <c r="C108" i="52"/>
  <c r="D108" i="52"/>
  <c r="H108" i="52"/>
  <c r="I26" i="25"/>
  <c r="K118" i="8"/>
  <c r="AH60" i="23"/>
  <c r="T61" i="23"/>
  <c r="AI60" i="23"/>
  <c r="K107" i="52"/>
  <c r="P150" i="9"/>
  <c r="H27" i="52"/>
  <c r="K27" i="52"/>
  <c r="E47" i="10"/>
  <c r="E56" i="10"/>
  <c r="AG117" i="23"/>
  <c r="Z42" i="23"/>
  <c r="AI117" i="23"/>
  <c r="AO119" i="23"/>
  <c r="C48" i="36"/>
  <c r="C122" i="11"/>
  <c r="B50" i="36"/>
  <c r="L49" i="36"/>
  <c r="N49" i="36"/>
  <c r="I49" i="36"/>
  <c r="M49" i="36"/>
  <c r="O49" i="36"/>
  <c r="G49" i="36"/>
  <c r="J49" i="36"/>
  <c r="C49" i="36" s="1"/>
  <c r="D122" i="11" s="1"/>
  <c r="K49" i="36"/>
  <c r="H49" i="36"/>
  <c r="E14" i="36"/>
  <c r="U58" i="23"/>
  <c r="AG59" i="23"/>
  <c r="K59" i="23"/>
  <c r="Y59" i="23"/>
  <c r="Q59" i="23"/>
  <c r="H59" i="23"/>
  <c r="B60" i="23"/>
  <c r="L59" i="23"/>
  <c r="AC59" i="23"/>
  <c r="G59" i="23"/>
  <c r="O59" i="23"/>
  <c r="P59" i="23"/>
  <c r="R59" i="23"/>
  <c r="G108" i="52"/>
  <c r="C134" i="11"/>
  <c r="AH61" i="23"/>
  <c r="T62" i="23"/>
  <c r="AI61" i="23"/>
  <c r="D61" i="52"/>
  <c r="B62" i="52"/>
  <c r="C61" i="52"/>
  <c r="G61" i="52"/>
  <c r="G27" i="52"/>
  <c r="E48" i="10"/>
  <c r="E57" i="10"/>
  <c r="AA42" i="23"/>
  <c r="W42" i="23"/>
  <c r="J61" i="11"/>
  <c r="AH117" i="23"/>
  <c r="AE118" i="23"/>
  <c r="AJ117" i="23"/>
  <c r="K108" i="52"/>
  <c r="E171" i="9"/>
  <c r="C109" i="52"/>
  <c r="B110" i="52"/>
  <c r="J109" i="52"/>
  <c r="D109" i="52"/>
  <c r="H109" i="52"/>
  <c r="F109" i="52"/>
  <c r="E109" i="52"/>
  <c r="I109" i="52"/>
  <c r="E118" i="23"/>
  <c r="N117" i="23"/>
  <c r="AP119" i="23"/>
  <c r="AD44" i="23"/>
  <c r="AR119" i="23"/>
  <c r="V42" i="23"/>
  <c r="J28" i="25"/>
  <c r="AB42" i="23"/>
  <c r="X42" i="23"/>
  <c r="G60" i="52"/>
  <c r="AJ60" i="23"/>
  <c r="C59" i="23"/>
  <c r="C121" i="11"/>
  <c r="D59" i="23"/>
  <c r="D275" i="8"/>
  <c r="D49" i="36"/>
  <c r="E276" i="8"/>
  <c r="H60" i="23"/>
  <c r="O60" i="23"/>
  <c r="AC60" i="23"/>
  <c r="G60" i="23"/>
  <c r="P60" i="23"/>
  <c r="L60" i="23"/>
  <c r="R60" i="23"/>
  <c r="Y60" i="23"/>
  <c r="B61" i="23"/>
  <c r="Q60" i="23"/>
  <c r="AG60" i="23"/>
  <c r="K60" i="23"/>
  <c r="U59" i="23"/>
  <c r="E49" i="36"/>
  <c r="G50" i="36"/>
  <c r="I50" i="36"/>
  <c r="H50" i="36"/>
  <c r="K50" i="36"/>
  <c r="O50" i="36"/>
  <c r="J50" i="36"/>
  <c r="L50" i="36"/>
  <c r="N50" i="36"/>
  <c r="B51" i="36"/>
  <c r="M50" i="36"/>
  <c r="K109" i="52"/>
  <c r="F171" i="9"/>
  <c r="G109" i="52"/>
  <c r="D134" i="11"/>
  <c r="F118" i="23"/>
  <c r="I43" i="23"/>
  <c r="H118" i="23"/>
  <c r="J110" i="52"/>
  <c r="C110" i="52"/>
  <c r="F110" i="52"/>
  <c r="H110" i="52"/>
  <c r="B111" i="52"/>
  <c r="I110" i="52"/>
  <c r="E110" i="52"/>
  <c r="D110" i="52"/>
  <c r="O117" i="23"/>
  <c r="M42" i="23"/>
  <c r="E42" i="23"/>
  <c r="Q117" i="23"/>
  <c r="AF118" i="23"/>
  <c r="AE44" i="23"/>
  <c r="AF44" i="23"/>
  <c r="AQ119" i="23"/>
  <c r="AN120" i="23"/>
  <c r="AS119" i="23"/>
  <c r="AH62" i="23"/>
  <c r="T63" i="23"/>
  <c r="AI62" i="23"/>
  <c r="D62" i="52"/>
  <c r="C62" i="52"/>
  <c r="B63" i="52"/>
  <c r="AJ61" i="23"/>
  <c r="E50" i="36"/>
  <c r="D50" i="36"/>
  <c r="F276" i="8"/>
  <c r="U60" i="23"/>
  <c r="C60" i="23"/>
  <c r="D121" i="11"/>
  <c r="J51" i="36"/>
  <c r="O51" i="36"/>
  <c r="N51" i="36"/>
  <c r="G51" i="36"/>
  <c r="L51" i="36"/>
  <c r="H51" i="36"/>
  <c r="I51" i="36"/>
  <c r="B52" i="36"/>
  <c r="M51" i="36"/>
  <c r="K51" i="36"/>
  <c r="Y61" i="23"/>
  <c r="L61" i="23"/>
  <c r="B62" i="23"/>
  <c r="O61" i="23"/>
  <c r="H61" i="23"/>
  <c r="G61" i="23"/>
  <c r="R61" i="23"/>
  <c r="K61" i="23"/>
  <c r="Q61" i="23"/>
  <c r="AG61" i="23"/>
  <c r="AC61" i="23"/>
  <c r="P61" i="23"/>
  <c r="C50" i="36"/>
  <c r="E122" i="11"/>
  <c r="D60" i="23"/>
  <c r="E275" i="8"/>
  <c r="T64" i="23"/>
  <c r="AH63" i="23"/>
  <c r="AI63" i="23"/>
  <c r="AJ63" i="23" s="1"/>
  <c r="N42" i="23"/>
  <c r="F42" i="23"/>
  <c r="J60" i="11"/>
  <c r="P117" i="23"/>
  <c r="M118" i="23"/>
  <c r="R117" i="23"/>
  <c r="AO120" i="23"/>
  <c r="L118" i="8"/>
  <c r="J26" i="25"/>
  <c r="AJ62" i="23"/>
  <c r="K110" i="52"/>
  <c r="G171" i="9"/>
  <c r="G62" i="52"/>
  <c r="B112" i="52"/>
  <c r="I111" i="52"/>
  <c r="C111" i="52"/>
  <c r="E111" i="52"/>
  <c r="J111" i="52"/>
  <c r="F111" i="52"/>
  <c r="H111" i="52"/>
  <c r="D111" i="52"/>
  <c r="D63" i="52"/>
  <c r="C63" i="52"/>
  <c r="B64" i="52"/>
  <c r="AG118" i="23"/>
  <c r="Z43" i="23"/>
  <c r="AI118" i="23"/>
  <c r="J43" i="23"/>
  <c r="I118" i="23"/>
  <c r="G118" i="23"/>
  <c r="D119" i="23"/>
  <c r="G110" i="52"/>
  <c r="E134" i="11"/>
  <c r="AG62" i="23"/>
  <c r="R62" i="23"/>
  <c r="B63" i="23"/>
  <c r="K62" i="23"/>
  <c r="AC62" i="23"/>
  <c r="Q62" i="23"/>
  <c r="O62" i="23"/>
  <c r="H62" i="23"/>
  <c r="P62" i="23"/>
  <c r="L62" i="23"/>
  <c r="Y62" i="23"/>
  <c r="U62" i="23"/>
  <c r="G62" i="23"/>
  <c r="C62" i="23"/>
  <c r="F121" i="11"/>
  <c r="D51" i="36"/>
  <c r="G276" i="8"/>
  <c r="D61" i="23"/>
  <c r="F275" i="8"/>
  <c r="U61" i="23"/>
  <c r="E51" i="36"/>
  <c r="L52" i="36"/>
  <c r="I52" i="36"/>
  <c r="K52" i="36"/>
  <c r="M52" i="36"/>
  <c r="N52" i="36"/>
  <c r="H52" i="36"/>
  <c r="J52" i="36"/>
  <c r="O52" i="36"/>
  <c r="G52" i="36"/>
  <c r="C52" i="36"/>
  <c r="G122" i="11"/>
  <c r="B53" i="36"/>
  <c r="C61" i="23"/>
  <c r="E121" i="11"/>
  <c r="C51" i="36"/>
  <c r="F122" i="11"/>
  <c r="AA43" i="23"/>
  <c r="W43" i="23"/>
  <c r="K61" i="11"/>
  <c r="AJ118" i="23"/>
  <c r="AH118" i="23"/>
  <c r="AE119" i="23"/>
  <c r="F112" i="52"/>
  <c r="H112" i="52"/>
  <c r="B113" i="52"/>
  <c r="I112" i="52"/>
  <c r="J112" i="52"/>
  <c r="D112" i="52"/>
  <c r="C112" i="52"/>
  <c r="E112" i="52"/>
  <c r="V43" i="23"/>
  <c r="K28" i="25"/>
  <c r="M121" i="8" s="1"/>
  <c r="AB43" i="23"/>
  <c r="X43" i="23"/>
  <c r="E119" i="23"/>
  <c r="K111" i="52"/>
  <c r="H171" i="9"/>
  <c r="G111" i="52"/>
  <c r="F134" i="11"/>
  <c r="G63" i="52"/>
  <c r="B65" i="52"/>
  <c r="C64" i="52"/>
  <c r="D64" i="52"/>
  <c r="AP120" i="23"/>
  <c r="AD45" i="23"/>
  <c r="AR120" i="23"/>
  <c r="N118" i="23"/>
  <c r="AI64" i="23"/>
  <c r="T65" i="23"/>
  <c r="AH64" i="23"/>
  <c r="G53" i="36"/>
  <c r="N53" i="36"/>
  <c r="J53" i="36"/>
  <c r="M53" i="36"/>
  <c r="B54" i="36"/>
  <c r="K53" i="36"/>
  <c r="I53" i="36"/>
  <c r="O53" i="36"/>
  <c r="H53" i="36"/>
  <c r="D53" i="36"/>
  <c r="I276" i="8"/>
  <c r="L53" i="36"/>
  <c r="E53" i="36" s="1"/>
  <c r="K112" i="52"/>
  <c r="I171" i="9"/>
  <c r="D52" i="36"/>
  <c r="H276" i="8"/>
  <c r="E52" i="36"/>
  <c r="AG63" i="23"/>
  <c r="K63" i="23"/>
  <c r="Y63" i="23"/>
  <c r="G63" i="23"/>
  <c r="P63" i="23"/>
  <c r="L63" i="23"/>
  <c r="H63" i="23"/>
  <c r="B64" i="23"/>
  <c r="R63" i="23"/>
  <c r="Q63" i="23"/>
  <c r="AC63" i="23"/>
  <c r="O63" i="23"/>
  <c r="D62" i="23"/>
  <c r="G275" i="8"/>
  <c r="E113" i="52"/>
  <c r="J113" i="52"/>
  <c r="D113" i="52"/>
  <c r="H113" i="52"/>
  <c r="C113" i="52"/>
  <c r="I113" i="52"/>
  <c r="F113" i="52"/>
  <c r="B114" i="52"/>
  <c r="G112" i="52"/>
  <c r="G134" i="11"/>
  <c r="AH65" i="23"/>
  <c r="T66" i="23"/>
  <c r="AI65" i="23"/>
  <c r="O118" i="23"/>
  <c r="M43" i="23"/>
  <c r="E43" i="23"/>
  <c r="Q118" i="23"/>
  <c r="F119" i="23"/>
  <c r="H119" i="23"/>
  <c r="I44" i="23"/>
  <c r="AF119" i="23"/>
  <c r="D65" i="52"/>
  <c r="C65" i="52"/>
  <c r="B66" i="52"/>
  <c r="AE45" i="23"/>
  <c r="AF45" i="23"/>
  <c r="AQ120" i="23"/>
  <c r="AN121" i="23"/>
  <c r="AS120" i="23"/>
  <c r="G64" i="52"/>
  <c r="AJ64" i="23"/>
  <c r="O64" i="23"/>
  <c r="AG64" i="23"/>
  <c r="B65" i="23"/>
  <c r="Q64" i="23"/>
  <c r="Y64" i="23"/>
  <c r="K64" i="23"/>
  <c r="G64" i="23"/>
  <c r="H64" i="23"/>
  <c r="L64" i="23"/>
  <c r="P64" i="23"/>
  <c r="R64" i="23"/>
  <c r="AC64" i="23"/>
  <c r="U64" i="23" s="1"/>
  <c r="O54" i="36"/>
  <c r="M54" i="36"/>
  <c r="N54" i="36"/>
  <c r="I54" i="36"/>
  <c r="G54" i="36"/>
  <c r="H54" i="36"/>
  <c r="K54" i="36"/>
  <c r="D54" i="36" s="1"/>
  <c r="J276" i="8" s="1"/>
  <c r="L54" i="36"/>
  <c r="J54" i="36"/>
  <c r="B55" i="36"/>
  <c r="C63" i="23"/>
  <c r="G121" i="11"/>
  <c r="G65" i="52"/>
  <c r="D63" i="23"/>
  <c r="H275" i="8"/>
  <c r="U63" i="23"/>
  <c r="B67" i="52"/>
  <c r="C66" i="52"/>
  <c r="D66" i="52"/>
  <c r="AG119" i="23"/>
  <c r="Z44" i="23"/>
  <c r="AI119" i="23"/>
  <c r="N43" i="23"/>
  <c r="F43" i="23"/>
  <c r="K60" i="11"/>
  <c r="R118" i="23"/>
  <c r="P118" i="23"/>
  <c r="M119" i="23"/>
  <c r="K26" i="25"/>
  <c r="M118" i="8"/>
  <c r="I114" i="52"/>
  <c r="H114" i="52"/>
  <c r="J114" i="52"/>
  <c r="F114" i="52"/>
  <c r="C114" i="52"/>
  <c r="B115" i="52"/>
  <c r="E114" i="52"/>
  <c r="D114" i="52"/>
  <c r="G114" i="52" s="1"/>
  <c r="I134" i="11" s="1"/>
  <c r="K113" i="52"/>
  <c r="J171" i="9"/>
  <c r="AJ65" i="23"/>
  <c r="AO121" i="23"/>
  <c r="AH66" i="23"/>
  <c r="AI66" i="23"/>
  <c r="T67" i="23"/>
  <c r="G113" i="52"/>
  <c r="H134" i="11"/>
  <c r="I119" i="23"/>
  <c r="J44" i="23"/>
  <c r="G119" i="23"/>
  <c r="D120" i="23"/>
  <c r="C54" i="36"/>
  <c r="I122" i="11"/>
  <c r="B56" i="36"/>
  <c r="H55" i="36"/>
  <c r="O55" i="36"/>
  <c r="L55" i="36"/>
  <c r="M55" i="36"/>
  <c r="J55" i="36"/>
  <c r="G55" i="36"/>
  <c r="N55" i="36"/>
  <c r="I55" i="36"/>
  <c r="E55" i="36"/>
  <c r="K55" i="36"/>
  <c r="L65" i="23"/>
  <c r="G65" i="23"/>
  <c r="Y65" i="23"/>
  <c r="AC65" i="23"/>
  <c r="H65" i="23"/>
  <c r="P65" i="23"/>
  <c r="R65" i="23"/>
  <c r="Q65" i="23"/>
  <c r="K65" i="23"/>
  <c r="O65" i="23"/>
  <c r="AG65" i="23"/>
  <c r="B66" i="23"/>
  <c r="C64" i="23"/>
  <c r="H121" i="11"/>
  <c r="G66" i="52"/>
  <c r="E54" i="36"/>
  <c r="D64" i="23"/>
  <c r="I275" i="8"/>
  <c r="C67" i="52"/>
  <c r="D67" i="52"/>
  <c r="B68" i="52"/>
  <c r="AP121" i="23"/>
  <c r="AD46" i="23"/>
  <c r="AR121" i="23"/>
  <c r="F115" i="52"/>
  <c r="H115" i="52"/>
  <c r="D115" i="52"/>
  <c r="C115" i="52"/>
  <c r="J115" i="52"/>
  <c r="I115" i="52"/>
  <c r="B116" i="52"/>
  <c r="E115" i="52"/>
  <c r="AA44" i="23"/>
  <c r="W44" i="23"/>
  <c r="L61" i="11"/>
  <c r="AJ119" i="23"/>
  <c r="AH119" i="23"/>
  <c r="AE120" i="23"/>
  <c r="K114" i="52"/>
  <c r="K171" i="9"/>
  <c r="E120" i="23"/>
  <c r="N119" i="23"/>
  <c r="AB44" i="23"/>
  <c r="X44" i="23"/>
  <c r="V44" i="23"/>
  <c r="L28" i="25"/>
  <c r="N121" i="8" s="1"/>
  <c r="T68" i="23"/>
  <c r="AI67" i="23"/>
  <c r="AH67" i="23"/>
  <c r="AJ66" i="23"/>
  <c r="G67" i="52"/>
  <c r="C65" i="23"/>
  <c r="I121" i="11"/>
  <c r="J56" i="36"/>
  <c r="G56" i="36"/>
  <c r="H56" i="36"/>
  <c r="B57" i="36"/>
  <c r="K56" i="36"/>
  <c r="L56" i="36"/>
  <c r="M56" i="36"/>
  <c r="N56" i="36"/>
  <c r="I56" i="36"/>
  <c r="O56" i="36"/>
  <c r="E56" i="36" s="1"/>
  <c r="U65" i="23"/>
  <c r="K66" i="23"/>
  <c r="G66" i="23"/>
  <c r="B67" i="23"/>
  <c r="Q66" i="23"/>
  <c r="AC66" i="23"/>
  <c r="R66" i="23"/>
  <c r="O66" i="23"/>
  <c r="AG66" i="23"/>
  <c r="L66" i="23"/>
  <c r="H66" i="23"/>
  <c r="Y66" i="23"/>
  <c r="U66" i="23"/>
  <c r="P66" i="23"/>
  <c r="D55" i="36"/>
  <c r="K276" i="8"/>
  <c r="D65" i="23"/>
  <c r="J275" i="8"/>
  <c r="C55" i="36"/>
  <c r="J122" i="11"/>
  <c r="B69" i="52"/>
  <c r="C68" i="52"/>
  <c r="D68" i="52"/>
  <c r="D24" i="52"/>
  <c r="G115" i="52"/>
  <c r="J134" i="11"/>
  <c r="F120" i="23"/>
  <c r="H120" i="23"/>
  <c r="I45" i="23"/>
  <c r="AJ67" i="23"/>
  <c r="AI68" i="23"/>
  <c r="AH68" i="23"/>
  <c r="AJ68" i="23"/>
  <c r="T69" i="23"/>
  <c r="K115" i="52"/>
  <c r="L171" i="9"/>
  <c r="AE46" i="23"/>
  <c r="AF46" i="23"/>
  <c r="AQ121" i="23"/>
  <c r="AN122" i="23"/>
  <c r="AS121" i="23"/>
  <c r="O119" i="23"/>
  <c r="M44" i="23"/>
  <c r="E44" i="23"/>
  <c r="Q119" i="23"/>
  <c r="AF120" i="23"/>
  <c r="E116" i="52"/>
  <c r="C116" i="52"/>
  <c r="J116" i="52"/>
  <c r="H116" i="52"/>
  <c r="B117" i="52"/>
  <c r="F116" i="52"/>
  <c r="D116" i="52"/>
  <c r="I116" i="52"/>
  <c r="G116" i="52"/>
  <c r="K134" i="11"/>
  <c r="D56" i="36"/>
  <c r="L276" i="8"/>
  <c r="I57" i="36"/>
  <c r="L57" i="36"/>
  <c r="H57" i="36"/>
  <c r="G57" i="36"/>
  <c r="B58" i="36"/>
  <c r="N57" i="36"/>
  <c r="M57" i="36"/>
  <c r="O57" i="36"/>
  <c r="K57" i="36"/>
  <c r="J57" i="36"/>
  <c r="K116" i="52"/>
  <c r="M171" i="9"/>
  <c r="D66" i="23"/>
  <c r="K275" i="8"/>
  <c r="C66" i="23"/>
  <c r="J121" i="11"/>
  <c r="H67" i="23"/>
  <c r="AG67" i="23"/>
  <c r="Y67" i="23"/>
  <c r="K67" i="23"/>
  <c r="R67" i="23"/>
  <c r="G67" i="23"/>
  <c r="O67" i="23"/>
  <c r="C67" i="23" s="1"/>
  <c r="K121" i="11" s="1"/>
  <c r="AC67" i="23"/>
  <c r="B68" i="23"/>
  <c r="P67" i="23"/>
  <c r="Q67" i="23"/>
  <c r="L67" i="23"/>
  <c r="C56" i="36"/>
  <c r="K122" i="11"/>
  <c r="N44" i="23"/>
  <c r="F44" i="23"/>
  <c r="L60" i="11"/>
  <c r="R119" i="23"/>
  <c r="P119" i="23"/>
  <c r="M120" i="23"/>
  <c r="J117" i="52"/>
  <c r="C117" i="52"/>
  <c r="B118" i="52"/>
  <c r="I117" i="52"/>
  <c r="F117" i="52"/>
  <c r="H117" i="52"/>
  <c r="D117" i="52"/>
  <c r="E117" i="52"/>
  <c r="N118" i="8"/>
  <c r="L26" i="25"/>
  <c r="AO122" i="23"/>
  <c r="AH69" i="23"/>
  <c r="T70" i="23"/>
  <c r="AI69" i="23"/>
  <c r="AJ69" i="23" s="1"/>
  <c r="B70" i="52"/>
  <c r="D69" i="52"/>
  <c r="C69" i="52"/>
  <c r="AG120" i="23"/>
  <c r="Z45" i="23"/>
  <c r="AI120" i="23"/>
  <c r="I120" i="23"/>
  <c r="J45" i="23"/>
  <c r="G120" i="23"/>
  <c r="D121" i="23"/>
  <c r="G68" i="52"/>
  <c r="C24" i="52"/>
  <c r="D57" i="36"/>
  <c r="U67" i="23"/>
  <c r="C57" i="36"/>
  <c r="N58" i="36"/>
  <c r="L58" i="36"/>
  <c r="B59" i="36"/>
  <c r="M58" i="36"/>
  <c r="K58" i="36"/>
  <c r="G58" i="36"/>
  <c r="H58" i="36"/>
  <c r="J58" i="36"/>
  <c r="I58" i="36"/>
  <c r="O58" i="36"/>
  <c r="E57" i="36"/>
  <c r="H68" i="23"/>
  <c r="G68" i="23"/>
  <c r="O68" i="23"/>
  <c r="P68" i="23"/>
  <c r="AC68" i="23"/>
  <c r="R68" i="23"/>
  <c r="K68" i="23"/>
  <c r="AG68" i="23"/>
  <c r="B69" i="23"/>
  <c r="L68" i="23"/>
  <c r="Q68" i="23"/>
  <c r="Y68" i="23"/>
  <c r="U68" i="23"/>
  <c r="D67" i="23"/>
  <c r="L275" i="8"/>
  <c r="AA45" i="23"/>
  <c r="W45" i="23"/>
  <c r="M61" i="11"/>
  <c r="AJ120" i="23"/>
  <c r="AH120" i="23"/>
  <c r="AE121" i="23"/>
  <c r="AP122" i="23"/>
  <c r="AD47" i="23"/>
  <c r="AR122" i="23"/>
  <c r="E121" i="23"/>
  <c r="V45" i="23"/>
  <c r="M28" i="25"/>
  <c r="O121" i="8" s="1"/>
  <c r="AB45" i="23"/>
  <c r="X45" i="23"/>
  <c r="G69" i="52"/>
  <c r="T71" i="23"/>
  <c r="AH70" i="23"/>
  <c r="AI70" i="23"/>
  <c r="K117" i="52"/>
  <c r="N171" i="9"/>
  <c r="G117" i="52"/>
  <c r="L134" i="11"/>
  <c r="G24" i="52"/>
  <c r="B71" i="52"/>
  <c r="D70" i="52"/>
  <c r="C70" i="52"/>
  <c r="B119" i="52"/>
  <c r="D118" i="52"/>
  <c r="C118" i="52"/>
  <c r="I118" i="52"/>
  <c r="H118" i="52"/>
  <c r="E118" i="52"/>
  <c r="F118" i="52"/>
  <c r="J118" i="52"/>
  <c r="N120" i="23"/>
  <c r="C68" i="23"/>
  <c r="E58" i="36"/>
  <c r="M276" i="8"/>
  <c r="C58" i="36"/>
  <c r="M122" i="11"/>
  <c r="G59" i="36"/>
  <c r="O59" i="36"/>
  <c r="N59" i="36"/>
  <c r="K59" i="36"/>
  <c r="I59" i="36"/>
  <c r="H59" i="36"/>
  <c r="J59" i="36"/>
  <c r="L59" i="36"/>
  <c r="E59" i="36" s="1"/>
  <c r="F15" i="36" s="1"/>
  <c r="M59" i="36"/>
  <c r="D58" i="36"/>
  <c r="N276" i="8"/>
  <c r="K69" i="23"/>
  <c r="G69" i="23"/>
  <c r="B70" i="23"/>
  <c r="Y69" i="23"/>
  <c r="L69" i="23"/>
  <c r="R69" i="23"/>
  <c r="O69" i="23"/>
  <c r="H69" i="23"/>
  <c r="Q69" i="23"/>
  <c r="P69" i="23"/>
  <c r="AG69" i="23"/>
  <c r="AC69" i="23"/>
  <c r="L122" i="11"/>
  <c r="K118" i="52"/>
  <c r="O171" i="9"/>
  <c r="D68" i="23"/>
  <c r="M275" i="8"/>
  <c r="AF121" i="23"/>
  <c r="AE47" i="23"/>
  <c r="AQ122" i="23"/>
  <c r="AN123" i="23"/>
  <c r="AS122" i="23"/>
  <c r="C119" i="52"/>
  <c r="H119" i="52"/>
  <c r="I119" i="52"/>
  <c r="I28" i="52"/>
  <c r="D119" i="52"/>
  <c r="D28" i="52"/>
  <c r="J119" i="52"/>
  <c r="J28" i="52"/>
  <c r="E119" i="52"/>
  <c r="E28" i="52"/>
  <c r="B120" i="52"/>
  <c r="F119" i="52"/>
  <c r="F28" i="52"/>
  <c r="C71" i="52"/>
  <c r="B72" i="52"/>
  <c r="D71" i="52"/>
  <c r="T72" i="23"/>
  <c r="AH71" i="23"/>
  <c r="AA71" i="23"/>
  <c r="AI71" i="23"/>
  <c r="AD71" i="23"/>
  <c r="AE71" i="23"/>
  <c r="Z71" i="23"/>
  <c r="AF47" i="23"/>
  <c r="O120" i="23"/>
  <c r="M45" i="23"/>
  <c r="E45" i="23"/>
  <c r="Q120" i="23"/>
  <c r="H121" i="23"/>
  <c r="F121" i="23"/>
  <c r="I46" i="23"/>
  <c r="G118" i="52"/>
  <c r="M134" i="11"/>
  <c r="G70" i="52"/>
  <c r="AJ70" i="23"/>
  <c r="L121" i="11"/>
  <c r="C69" i="23"/>
  <c r="M121" i="11"/>
  <c r="Y70" i="23"/>
  <c r="H70" i="23"/>
  <c r="G70" i="23"/>
  <c r="B71" i="23"/>
  <c r="R70" i="23"/>
  <c r="AC70" i="23"/>
  <c r="K70" i="23"/>
  <c r="Q70" i="23"/>
  <c r="AG70" i="23"/>
  <c r="L70" i="23"/>
  <c r="P70" i="23"/>
  <c r="O70" i="23"/>
  <c r="C59" i="36"/>
  <c r="D69" i="23"/>
  <c r="N275" i="8"/>
  <c r="U69" i="23"/>
  <c r="D59" i="36"/>
  <c r="O276" i="8"/>
  <c r="E15" i="36"/>
  <c r="V71" i="23"/>
  <c r="AB71" i="23"/>
  <c r="W71" i="23"/>
  <c r="D72" i="52"/>
  <c r="C72" i="52"/>
  <c r="B73" i="52"/>
  <c r="K119" i="52"/>
  <c r="P171" i="9"/>
  <c r="H28" i="52"/>
  <c r="K28" i="52"/>
  <c r="AO123" i="23"/>
  <c r="B121" i="52"/>
  <c r="C120" i="52"/>
  <c r="F120" i="52"/>
  <c r="D120" i="52"/>
  <c r="E120" i="52"/>
  <c r="I121" i="23"/>
  <c r="J46" i="23"/>
  <c r="G121" i="23"/>
  <c r="D122" i="23"/>
  <c r="N45" i="23"/>
  <c r="F45" i="23"/>
  <c r="M60" i="11"/>
  <c r="R120" i="23"/>
  <c r="P120" i="23"/>
  <c r="M121" i="23"/>
  <c r="AH72" i="23"/>
  <c r="AE72" i="23"/>
  <c r="AI72" i="23"/>
  <c r="Z72" i="23"/>
  <c r="T73" i="23"/>
  <c r="AD72" i="23"/>
  <c r="AF72" i="23"/>
  <c r="AA72" i="23"/>
  <c r="G56" i="10"/>
  <c r="G47" i="10"/>
  <c r="AF71" i="23"/>
  <c r="M26" i="25"/>
  <c r="O118" i="8"/>
  <c r="G119" i="52"/>
  <c r="N134" i="11"/>
  <c r="C28" i="52"/>
  <c r="AG121" i="23"/>
  <c r="Z46" i="23"/>
  <c r="AI121" i="23"/>
  <c r="AJ71" i="23"/>
  <c r="G71" i="52"/>
  <c r="N122" i="11"/>
  <c r="W72" i="23"/>
  <c r="U70" i="23"/>
  <c r="D70" i="23"/>
  <c r="O275" i="8"/>
  <c r="AJ72" i="23"/>
  <c r="C70" i="23"/>
  <c r="B72" i="23"/>
  <c r="Y71" i="23"/>
  <c r="L71" i="23"/>
  <c r="G71" i="23"/>
  <c r="AG71" i="23"/>
  <c r="K71" i="23"/>
  <c r="R71" i="23"/>
  <c r="Q71" i="23"/>
  <c r="AC71" i="23"/>
  <c r="H71" i="23"/>
  <c r="P71" i="23"/>
  <c r="D71" i="23" s="1"/>
  <c r="O71" i="23"/>
  <c r="V46" i="23"/>
  <c r="AA46" i="23"/>
  <c r="AB46" i="23"/>
  <c r="X46" i="23"/>
  <c r="AH121" i="23"/>
  <c r="AE122" i="23"/>
  <c r="AJ121" i="23"/>
  <c r="V72" i="23"/>
  <c r="AB72" i="23"/>
  <c r="X72" i="23"/>
  <c r="N121" i="23"/>
  <c r="AI73" i="23"/>
  <c r="AH73" i="23"/>
  <c r="AJ73" i="23"/>
  <c r="Z73" i="23"/>
  <c r="AE73" i="23"/>
  <c r="T74" i="23"/>
  <c r="AD73" i="23"/>
  <c r="AF73" i="23"/>
  <c r="AA73" i="23"/>
  <c r="E122" i="23"/>
  <c r="B122" i="52"/>
  <c r="C121" i="52"/>
  <c r="D121" i="52"/>
  <c r="F121" i="52"/>
  <c r="E121" i="52"/>
  <c r="G72" i="52"/>
  <c r="X71" i="23"/>
  <c r="G28" i="52"/>
  <c r="G57" i="10"/>
  <c r="G48" i="10"/>
  <c r="G120" i="52"/>
  <c r="AP123" i="23"/>
  <c r="AD48" i="23"/>
  <c r="AR123" i="23"/>
  <c r="B74" i="52"/>
  <c r="C73" i="52"/>
  <c r="D73" i="52"/>
  <c r="G73" i="52"/>
  <c r="N121" i="11"/>
  <c r="D14" i="23"/>
  <c r="C71" i="23"/>
  <c r="K72" i="23"/>
  <c r="Y72" i="23"/>
  <c r="AG72" i="23"/>
  <c r="Q72" i="23"/>
  <c r="L72" i="23"/>
  <c r="AC72" i="23"/>
  <c r="P72" i="23"/>
  <c r="B73" i="23"/>
  <c r="O72" i="23"/>
  <c r="G72" i="23"/>
  <c r="C72" i="23"/>
  <c r="R72" i="23"/>
  <c r="H72" i="23"/>
  <c r="U71" i="23"/>
  <c r="M12" i="23"/>
  <c r="D122" i="52"/>
  <c r="B123" i="52"/>
  <c r="F122" i="52"/>
  <c r="E122" i="52"/>
  <c r="C122" i="52"/>
  <c r="V73" i="23"/>
  <c r="AB73" i="23"/>
  <c r="X73" i="23"/>
  <c r="N28" i="25"/>
  <c r="K12" i="23"/>
  <c r="G121" i="52"/>
  <c r="W73" i="23"/>
  <c r="D74" i="52"/>
  <c r="B75" i="52"/>
  <c r="C74" i="52"/>
  <c r="W46" i="23"/>
  <c r="I19" i="23"/>
  <c r="AE48" i="23"/>
  <c r="AF48" i="23"/>
  <c r="AS123" i="23"/>
  <c r="AQ123" i="23"/>
  <c r="AN124" i="23"/>
  <c r="H122" i="23"/>
  <c r="F122" i="23"/>
  <c r="I47" i="23"/>
  <c r="O121" i="23"/>
  <c r="M46" i="23"/>
  <c r="E46" i="23"/>
  <c r="Q121" i="23"/>
  <c r="T75" i="23"/>
  <c r="AD74" i="23"/>
  <c r="AA74" i="23"/>
  <c r="AE74" i="23"/>
  <c r="AH74" i="23"/>
  <c r="AI74" i="23"/>
  <c r="AJ74" i="23" s="1"/>
  <c r="Z74" i="23"/>
  <c r="AF122" i="23"/>
  <c r="U72" i="23"/>
  <c r="Y73" i="23"/>
  <c r="G73" i="23"/>
  <c r="L73" i="23"/>
  <c r="H73" i="23"/>
  <c r="AC73" i="23"/>
  <c r="R73" i="23"/>
  <c r="P73" i="23"/>
  <c r="K73" i="23"/>
  <c r="AG73" i="23"/>
  <c r="Q73" i="23"/>
  <c r="B74" i="23"/>
  <c r="O73" i="23"/>
  <c r="D72" i="23"/>
  <c r="N46" i="23"/>
  <c r="R121" i="23"/>
  <c r="P121" i="23"/>
  <c r="M122" i="23"/>
  <c r="AO124" i="23"/>
  <c r="N61" i="11"/>
  <c r="L12" i="23"/>
  <c r="AF74" i="23"/>
  <c r="V74" i="23"/>
  <c r="AB74" i="23"/>
  <c r="N26" i="25"/>
  <c r="N30" i="25" s="1"/>
  <c r="N49" i="25" s="1"/>
  <c r="P118" i="8"/>
  <c r="E12" i="23"/>
  <c r="C55" i="10"/>
  <c r="D55" i="10"/>
  <c r="C46" i="10"/>
  <c r="D46" i="10"/>
  <c r="W74" i="23"/>
  <c r="AG122" i="23"/>
  <c r="Z47" i="23"/>
  <c r="AI122" i="23"/>
  <c r="I122" i="23"/>
  <c r="J47" i="23"/>
  <c r="G122" i="23"/>
  <c r="D123" i="23"/>
  <c r="B76" i="52"/>
  <c r="D75" i="52"/>
  <c r="C75" i="52"/>
  <c r="P121" i="8"/>
  <c r="G122" i="52"/>
  <c r="AI75" i="23"/>
  <c r="AE75" i="23"/>
  <c r="AA75" i="23"/>
  <c r="T76" i="23"/>
  <c r="AH75" i="23"/>
  <c r="AJ75" i="23"/>
  <c r="Z75" i="23"/>
  <c r="AD75" i="23"/>
  <c r="AF75" i="23"/>
  <c r="E123" i="52"/>
  <c r="C123" i="52"/>
  <c r="D123" i="52"/>
  <c r="F123" i="52"/>
  <c r="B124" i="52"/>
  <c r="G74" i="52"/>
  <c r="C73" i="23"/>
  <c r="K74" i="23"/>
  <c r="L74" i="23"/>
  <c r="Q74" i="23"/>
  <c r="AC74" i="23"/>
  <c r="B75" i="23"/>
  <c r="Y74" i="23"/>
  <c r="G74" i="23"/>
  <c r="O74" i="23"/>
  <c r="R74" i="23"/>
  <c r="H74" i="23"/>
  <c r="P74" i="23"/>
  <c r="AG74" i="23"/>
  <c r="X74" i="23"/>
  <c r="D73" i="23"/>
  <c r="U73" i="23"/>
  <c r="V75" i="23"/>
  <c r="AB75" i="23"/>
  <c r="X75" i="23"/>
  <c r="D76" i="52"/>
  <c r="C76" i="52"/>
  <c r="B77" i="52"/>
  <c r="N122" i="23"/>
  <c r="AP124" i="23"/>
  <c r="AD49" i="23"/>
  <c r="AR124" i="23"/>
  <c r="W75" i="23"/>
  <c r="C124" i="52"/>
  <c r="B125" i="52"/>
  <c r="F124" i="52"/>
  <c r="E124" i="52"/>
  <c r="D124" i="52"/>
  <c r="AH76" i="23"/>
  <c r="AE76" i="23"/>
  <c r="AI76" i="23"/>
  <c r="AJ76" i="23" s="1"/>
  <c r="T77" i="23"/>
  <c r="Z76" i="23"/>
  <c r="AA76" i="23"/>
  <c r="AD76" i="23"/>
  <c r="G75" i="52"/>
  <c r="AA47" i="23"/>
  <c r="AH122" i="23"/>
  <c r="AE123" i="23"/>
  <c r="AJ122" i="23"/>
  <c r="F46" i="23"/>
  <c r="C19" i="23"/>
  <c r="E123" i="23"/>
  <c r="V47" i="23"/>
  <c r="R75" i="23"/>
  <c r="G75" i="23"/>
  <c r="AG75" i="23"/>
  <c r="H75" i="23"/>
  <c r="AC75" i="23"/>
  <c r="P75" i="23"/>
  <c r="Y75" i="23"/>
  <c r="K75" i="23"/>
  <c r="Q75" i="23"/>
  <c r="O75" i="23"/>
  <c r="L75" i="23"/>
  <c r="B76" i="23"/>
  <c r="D74" i="23"/>
  <c r="U74" i="23"/>
  <c r="C74" i="23"/>
  <c r="C45" i="10"/>
  <c r="C54" i="10"/>
  <c r="H123" i="23"/>
  <c r="F123" i="23"/>
  <c r="I48" i="23"/>
  <c r="AF123" i="23"/>
  <c r="D199" i="8"/>
  <c r="N60" i="11"/>
  <c r="F12" i="23"/>
  <c r="AE49" i="23"/>
  <c r="AQ124" i="23"/>
  <c r="AN125" i="23"/>
  <c r="AS124" i="23"/>
  <c r="AF76" i="23"/>
  <c r="W47" i="23"/>
  <c r="AE77" i="23"/>
  <c r="AI77" i="23"/>
  <c r="AD77" i="23"/>
  <c r="T78" i="23"/>
  <c r="Z77" i="23"/>
  <c r="AA77" i="23"/>
  <c r="W77" i="23"/>
  <c r="AH77" i="23"/>
  <c r="G124" i="52"/>
  <c r="AF49" i="23"/>
  <c r="G76" i="52"/>
  <c r="V76" i="23"/>
  <c r="AB76" i="23"/>
  <c r="X76" i="23"/>
  <c r="F125" i="52"/>
  <c r="E125" i="52"/>
  <c r="C125" i="52"/>
  <c r="D125" i="52"/>
  <c r="B126" i="52"/>
  <c r="O122" i="23"/>
  <c r="M47" i="23"/>
  <c r="E47" i="23"/>
  <c r="Q122" i="23"/>
  <c r="C77" i="52"/>
  <c r="B78" i="52"/>
  <c r="D77" i="52"/>
  <c r="W76" i="23"/>
  <c r="AB47" i="23"/>
  <c r="X47" i="23"/>
  <c r="C75" i="23"/>
  <c r="U75" i="23"/>
  <c r="Q76" i="23"/>
  <c r="G76" i="23"/>
  <c r="L76" i="23"/>
  <c r="AC76" i="23"/>
  <c r="O76" i="23"/>
  <c r="H76" i="23"/>
  <c r="R76" i="23"/>
  <c r="Y76" i="23"/>
  <c r="AG76" i="23"/>
  <c r="K76" i="23"/>
  <c r="B77" i="23"/>
  <c r="P76" i="23"/>
  <c r="G77" i="52"/>
  <c r="D75" i="23"/>
  <c r="AB77" i="23"/>
  <c r="V77" i="23"/>
  <c r="AO125" i="23"/>
  <c r="D45" i="10"/>
  <c r="C51" i="10"/>
  <c r="C100" i="11"/>
  <c r="B127" i="52"/>
  <c r="E126" i="52"/>
  <c r="F126" i="52"/>
  <c r="D126" i="52"/>
  <c r="C126" i="52"/>
  <c r="G126" i="52"/>
  <c r="AG123" i="23"/>
  <c r="Z48" i="23"/>
  <c r="AI123" i="23"/>
  <c r="D54" i="10"/>
  <c r="C62" i="10"/>
  <c r="D62" i="10"/>
  <c r="B79" i="52"/>
  <c r="D78" i="52"/>
  <c r="C78" i="52"/>
  <c r="N47" i="23"/>
  <c r="F47" i="23"/>
  <c r="P122" i="23"/>
  <c r="M123" i="23"/>
  <c r="R122" i="23"/>
  <c r="C97" i="11"/>
  <c r="AJ77" i="23"/>
  <c r="AF77" i="23"/>
  <c r="D196" i="8"/>
  <c r="G125" i="52"/>
  <c r="AH78" i="23"/>
  <c r="AD78" i="23"/>
  <c r="AE78" i="23"/>
  <c r="AF78" i="23" s="1"/>
  <c r="Z78" i="23"/>
  <c r="AI78" i="23"/>
  <c r="AA78" i="23"/>
  <c r="T79" i="23"/>
  <c r="I123" i="23"/>
  <c r="J48" i="23"/>
  <c r="G123" i="23"/>
  <c r="D124" i="23"/>
  <c r="B78" i="23"/>
  <c r="Q77" i="23"/>
  <c r="AC77" i="23"/>
  <c r="H77" i="23"/>
  <c r="Y77" i="23"/>
  <c r="P77" i="23"/>
  <c r="AG77" i="23"/>
  <c r="U77" i="23" s="1"/>
  <c r="K77" i="23"/>
  <c r="O77" i="23"/>
  <c r="G77" i="23"/>
  <c r="L77" i="23"/>
  <c r="R77" i="23"/>
  <c r="U76" i="23"/>
  <c r="D76" i="23"/>
  <c r="C76" i="23"/>
  <c r="V78" i="23"/>
  <c r="AB78" i="23"/>
  <c r="AA48" i="23"/>
  <c r="AH123" i="23"/>
  <c r="AE124" i="23"/>
  <c r="AJ123" i="23"/>
  <c r="AP125" i="23"/>
  <c r="AD50" i="23"/>
  <c r="AR125" i="23"/>
  <c r="W78" i="23"/>
  <c r="G78" i="52"/>
  <c r="C96" i="11"/>
  <c r="V48" i="23"/>
  <c r="AJ78" i="23"/>
  <c r="N123" i="23"/>
  <c r="B80" i="52"/>
  <c r="D79" i="52"/>
  <c r="C79" i="52"/>
  <c r="X77" i="23"/>
  <c r="E124" i="23"/>
  <c r="T80" i="23"/>
  <c r="AE79" i="23"/>
  <c r="AD79" i="23"/>
  <c r="Z79" i="23"/>
  <c r="AH79" i="23"/>
  <c r="AA79" i="23"/>
  <c r="AI79" i="23"/>
  <c r="D127" i="52"/>
  <c r="E127" i="52"/>
  <c r="B128" i="52"/>
  <c r="F127" i="52"/>
  <c r="C127" i="52"/>
  <c r="G127" i="52"/>
  <c r="C67" i="10"/>
  <c r="D67" i="10"/>
  <c r="D51" i="10"/>
  <c r="C66" i="10"/>
  <c r="C64" i="10"/>
  <c r="R78" i="23"/>
  <c r="B79" i="23"/>
  <c r="K78" i="23"/>
  <c r="Y78" i="23"/>
  <c r="O78" i="23"/>
  <c r="P78" i="23"/>
  <c r="AG78" i="23"/>
  <c r="H78" i="23"/>
  <c r="G78" i="23"/>
  <c r="C78" i="23"/>
  <c r="AC78" i="23"/>
  <c r="L78" i="23"/>
  <c r="Q78" i="23"/>
  <c r="C77" i="23"/>
  <c r="D77" i="23"/>
  <c r="C68" i="10"/>
  <c r="D68" i="10"/>
  <c r="D66" i="10"/>
  <c r="AH80" i="23"/>
  <c r="AI80" i="23"/>
  <c r="AJ80" i="23" s="1"/>
  <c r="AD80" i="23"/>
  <c r="AE80" i="23"/>
  <c r="AF80" i="23" s="1"/>
  <c r="T81" i="23"/>
  <c r="Z80" i="23"/>
  <c r="AA80" i="23"/>
  <c r="W80" i="23"/>
  <c r="O123" i="23"/>
  <c r="M48" i="23"/>
  <c r="E48" i="23"/>
  <c r="Q123" i="23"/>
  <c r="F128" i="52"/>
  <c r="E128" i="52"/>
  <c r="C128" i="52"/>
  <c r="D128" i="52"/>
  <c r="B129" i="52"/>
  <c r="C80" i="52"/>
  <c r="D80" i="52"/>
  <c r="D25" i="52"/>
  <c r="AE50" i="23"/>
  <c r="AF50" i="23"/>
  <c r="AQ125" i="23"/>
  <c r="AN126" i="23"/>
  <c r="AS125" i="23"/>
  <c r="X78" i="23"/>
  <c r="F124" i="23"/>
  <c r="H124" i="23"/>
  <c r="I49" i="23"/>
  <c r="E199" i="8"/>
  <c r="W48" i="23"/>
  <c r="AF79" i="23"/>
  <c r="C71" i="10"/>
  <c r="D64" i="10"/>
  <c r="AB79" i="23"/>
  <c r="V79" i="23"/>
  <c r="AF124" i="23"/>
  <c r="G79" i="52"/>
  <c r="AB48" i="23"/>
  <c r="X48" i="23"/>
  <c r="Q79" i="23"/>
  <c r="R79" i="23"/>
  <c r="K79" i="23"/>
  <c r="P79" i="23"/>
  <c r="B80" i="23"/>
  <c r="AC79" i="23"/>
  <c r="AG79" i="23"/>
  <c r="L79" i="23"/>
  <c r="O79" i="23"/>
  <c r="Y79" i="23"/>
  <c r="U79" i="23"/>
  <c r="H79" i="23"/>
  <c r="D79" i="23"/>
  <c r="G79" i="23"/>
  <c r="G128" i="52"/>
  <c r="D78" i="23"/>
  <c r="U78" i="23"/>
  <c r="N48" i="23"/>
  <c r="F48" i="23"/>
  <c r="R123" i="23"/>
  <c r="P123" i="23"/>
  <c r="M124" i="23"/>
  <c r="I124" i="23"/>
  <c r="J49" i="23"/>
  <c r="G124" i="23"/>
  <c r="D125" i="23"/>
  <c r="AO126" i="23"/>
  <c r="G80" i="52"/>
  <c r="C25" i="52"/>
  <c r="G25" i="52"/>
  <c r="E196" i="8"/>
  <c r="D100" i="11"/>
  <c r="AG124" i="23"/>
  <c r="Z49" i="23"/>
  <c r="AI124" i="23"/>
  <c r="D97" i="11"/>
  <c r="C129" i="52"/>
  <c r="D129" i="52"/>
  <c r="E129" i="52"/>
  <c r="B130" i="52"/>
  <c r="F129" i="52"/>
  <c r="AD81" i="23"/>
  <c r="AH81" i="23"/>
  <c r="AE81" i="23"/>
  <c r="AF81" i="23" s="1"/>
  <c r="T82" i="23"/>
  <c r="AI81" i="23"/>
  <c r="Z81" i="23"/>
  <c r="AA81" i="23"/>
  <c r="V80" i="23"/>
  <c r="AB80" i="23"/>
  <c r="X80" i="23"/>
  <c r="AC80" i="23"/>
  <c r="R80" i="23"/>
  <c r="H80" i="23"/>
  <c r="Y80" i="23"/>
  <c r="B81" i="23"/>
  <c r="L80" i="23"/>
  <c r="Q80" i="23"/>
  <c r="O80" i="23"/>
  <c r="G80" i="23"/>
  <c r="AG80" i="23"/>
  <c r="K80" i="23"/>
  <c r="C80" i="23" s="1"/>
  <c r="P80" i="23"/>
  <c r="C79" i="23"/>
  <c r="E125" i="23"/>
  <c r="N124" i="23"/>
  <c r="AB81" i="23"/>
  <c r="V81" i="23"/>
  <c r="AJ81" i="23"/>
  <c r="E130" i="52"/>
  <c r="D130" i="52"/>
  <c r="B131" i="52"/>
  <c r="F130" i="52"/>
  <c r="C130" i="52"/>
  <c r="AA49" i="23"/>
  <c r="AH124" i="23"/>
  <c r="AE125" i="23"/>
  <c r="AJ124" i="23"/>
  <c r="AP126" i="23"/>
  <c r="AD51" i="23"/>
  <c r="AR126" i="23"/>
  <c r="D96" i="11"/>
  <c r="W81" i="23"/>
  <c r="AH82" i="23"/>
  <c r="AE82" i="23"/>
  <c r="AD82" i="23"/>
  <c r="Z82" i="23"/>
  <c r="AA82" i="23"/>
  <c r="AI82" i="23"/>
  <c r="AB49" i="23"/>
  <c r="X49" i="23"/>
  <c r="V49" i="23"/>
  <c r="G129" i="52"/>
  <c r="P81" i="23"/>
  <c r="L81" i="23"/>
  <c r="Q81" i="23"/>
  <c r="AG81" i="23"/>
  <c r="O81" i="23"/>
  <c r="Y81" i="23"/>
  <c r="B82" i="23"/>
  <c r="AC81" i="23"/>
  <c r="H81" i="23"/>
  <c r="D81" i="23"/>
  <c r="G81" i="23"/>
  <c r="K81" i="23"/>
  <c r="C81" i="23" s="1"/>
  <c r="R81" i="23"/>
  <c r="G130" i="52"/>
  <c r="D80" i="23"/>
  <c r="U80" i="23"/>
  <c r="W82" i="23"/>
  <c r="L19" i="23"/>
  <c r="I55" i="10"/>
  <c r="AF125" i="23"/>
  <c r="F131" i="52"/>
  <c r="F29" i="52"/>
  <c r="E131" i="52"/>
  <c r="E29" i="52"/>
  <c r="C131" i="52"/>
  <c r="D131" i="52"/>
  <c r="D29" i="52"/>
  <c r="O124" i="23"/>
  <c r="M49" i="23"/>
  <c r="E49" i="23"/>
  <c r="Q124" i="23"/>
  <c r="AJ82" i="23"/>
  <c r="X81" i="23"/>
  <c r="AE51" i="23"/>
  <c r="AF51" i="23"/>
  <c r="AS126" i="23"/>
  <c r="AQ126" i="23"/>
  <c r="AN127" i="23"/>
  <c r="F125" i="23"/>
  <c r="H125" i="23"/>
  <c r="I50" i="23"/>
  <c r="AF82" i="23"/>
  <c r="F199" i="8"/>
  <c r="V82" i="23"/>
  <c r="K15" i="23"/>
  <c r="AB82" i="23"/>
  <c r="W49" i="23"/>
  <c r="U81" i="23"/>
  <c r="H82" i="23"/>
  <c r="AC82" i="23"/>
  <c r="Q82" i="23"/>
  <c r="P82" i="23"/>
  <c r="AG82" i="23"/>
  <c r="Y82" i="23"/>
  <c r="U82" i="23"/>
  <c r="L82" i="23"/>
  <c r="R82" i="23"/>
  <c r="O82" i="23"/>
  <c r="G82" i="23"/>
  <c r="K82" i="23"/>
  <c r="C82" i="23" s="1"/>
  <c r="D15" i="23" s="1"/>
  <c r="X82" i="23"/>
  <c r="E97" i="11"/>
  <c r="I125" i="23"/>
  <c r="J50" i="23"/>
  <c r="G125" i="23"/>
  <c r="D126" i="23"/>
  <c r="AO127" i="23"/>
  <c r="N49" i="23"/>
  <c r="F49" i="23"/>
  <c r="R124" i="23"/>
  <c r="P124" i="23"/>
  <c r="M125" i="23"/>
  <c r="G131" i="52"/>
  <c r="C29" i="52"/>
  <c r="AG125" i="23"/>
  <c r="Z50" i="23"/>
  <c r="AI125" i="23"/>
  <c r="F196" i="8"/>
  <c r="I56" i="10"/>
  <c r="I47" i="10"/>
  <c r="D82" i="23"/>
  <c r="AA50" i="23"/>
  <c r="AH125" i="23"/>
  <c r="AE126" i="23"/>
  <c r="AJ125" i="23"/>
  <c r="AB50" i="23"/>
  <c r="X50" i="23"/>
  <c r="V50" i="23"/>
  <c r="N125" i="23"/>
  <c r="AP127" i="23"/>
  <c r="AD52" i="23"/>
  <c r="AR127" i="23"/>
  <c r="G29" i="52"/>
  <c r="I57" i="10"/>
  <c r="I48" i="10"/>
  <c r="E96" i="11"/>
  <c r="E126" i="23"/>
  <c r="H126" i="23"/>
  <c r="F126" i="23"/>
  <c r="I51" i="23"/>
  <c r="AE52" i="23"/>
  <c r="AF52" i="23"/>
  <c r="AQ127" i="23"/>
  <c r="AN128" i="23"/>
  <c r="AS127" i="23"/>
  <c r="F100" i="11"/>
  <c r="W50" i="23"/>
  <c r="G199" i="8"/>
  <c r="O125" i="23"/>
  <c r="M50" i="23"/>
  <c r="E50" i="23"/>
  <c r="Q125" i="23"/>
  <c r="AF126" i="23"/>
  <c r="N50" i="23"/>
  <c r="F50" i="23"/>
  <c r="R125" i="23"/>
  <c r="P125" i="23"/>
  <c r="M126" i="23"/>
  <c r="AO128" i="23"/>
  <c r="AG126" i="23"/>
  <c r="Z51" i="23"/>
  <c r="AI126" i="23"/>
  <c r="G196" i="8"/>
  <c r="I126" i="23"/>
  <c r="J51" i="23"/>
  <c r="G126" i="23"/>
  <c r="D127" i="23"/>
  <c r="F97" i="11"/>
  <c r="F96" i="11"/>
  <c r="E127" i="23"/>
  <c r="AP128" i="23"/>
  <c r="AD53" i="23"/>
  <c r="AR128" i="23"/>
  <c r="AA51" i="23"/>
  <c r="AJ126" i="23"/>
  <c r="AH126" i="23"/>
  <c r="AE127" i="23"/>
  <c r="V51" i="23"/>
  <c r="N126" i="23"/>
  <c r="H199" i="8"/>
  <c r="O126" i="23"/>
  <c r="M51" i="23"/>
  <c r="E51" i="23"/>
  <c r="Q126" i="23"/>
  <c r="H127" i="23"/>
  <c r="F127" i="23"/>
  <c r="I52" i="23"/>
  <c r="W51" i="23"/>
  <c r="AE53" i="23"/>
  <c r="AF53" i="23"/>
  <c r="AQ128" i="23"/>
  <c r="AN129" i="23"/>
  <c r="AS128" i="23"/>
  <c r="AB51" i="23"/>
  <c r="X51" i="23"/>
  <c r="AF127" i="23"/>
  <c r="G97" i="11"/>
  <c r="G100" i="11"/>
  <c r="AG127" i="23"/>
  <c r="Z52" i="23"/>
  <c r="AI127" i="23"/>
  <c r="I127" i="23"/>
  <c r="J52" i="23"/>
  <c r="G127" i="23"/>
  <c r="D128" i="23"/>
  <c r="N51" i="23"/>
  <c r="F51" i="23"/>
  <c r="R126" i="23"/>
  <c r="P126" i="23"/>
  <c r="M127" i="23"/>
  <c r="AO129" i="23"/>
  <c r="H196" i="8"/>
  <c r="N127" i="23"/>
  <c r="E128" i="23"/>
  <c r="AP129" i="23"/>
  <c r="AD54" i="23"/>
  <c r="AR129" i="23"/>
  <c r="AA52" i="23"/>
  <c r="W52" i="23"/>
  <c r="H97" i="11"/>
  <c r="AJ127" i="23"/>
  <c r="AH127" i="23"/>
  <c r="AE128" i="23"/>
  <c r="V52" i="23"/>
  <c r="I199" i="8"/>
  <c r="G96" i="11"/>
  <c r="AB52" i="23"/>
  <c r="X52" i="23"/>
  <c r="AE54" i="23"/>
  <c r="AF54" i="23"/>
  <c r="AS129" i="23"/>
  <c r="AQ129" i="23"/>
  <c r="AN130" i="23"/>
  <c r="O127" i="23"/>
  <c r="M52" i="23"/>
  <c r="E52" i="23"/>
  <c r="I196" i="8"/>
  <c r="Q127" i="23"/>
  <c r="AF128" i="23"/>
  <c r="H128" i="23"/>
  <c r="F128" i="23"/>
  <c r="I53" i="23"/>
  <c r="AG128" i="23"/>
  <c r="Z53" i="23"/>
  <c r="AI128" i="23"/>
  <c r="I128" i="23"/>
  <c r="J53" i="23"/>
  <c r="G128" i="23"/>
  <c r="D129" i="23"/>
  <c r="AO130" i="23"/>
  <c r="N52" i="23"/>
  <c r="F52" i="23"/>
  <c r="H96" i="11"/>
  <c r="P127" i="23"/>
  <c r="M128" i="23"/>
  <c r="R127" i="23"/>
  <c r="AP130" i="23"/>
  <c r="AD55" i="23"/>
  <c r="AR130" i="23"/>
  <c r="AA53" i="23"/>
  <c r="W53" i="23"/>
  <c r="I97" i="11"/>
  <c r="AJ128" i="23"/>
  <c r="AH128" i="23"/>
  <c r="AE129" i="23"/>
  <c r="N128" i="23"/>
  <c r="E129" i="23"/>
  <c r="V53" i="23"/>
  <c r="J199" i="8"/>
  <c r="AB53" i="23"/>
  <c r="X53" i="23"/>
  <c r="I100" i="11"/>
  <c r="H129" i="23"/>
  <c r="F129" i="23"/>
  <c r="I54" i="23"/>
  <c r="AF129" i="23"/>
  <c r="AE55" i="23"/>
  <c r="AF55" i="23"/>
  <c r="AS130" i="23"/>
  <c r="AQ130" i="23"/>
  <c r="AN131" i="23"/>
  <c r="O128" i="23"/>
  <c r="M53" i="23"/>
  <c r="E53" i="23"/>
  <c r="J196" i="8"/>
  <c r="Q128" i="23"/>
  <c r="N53" i="23"/>
  <c r="F53" i="23"/>
  <c r="I96" i="11"/>
  <c r="P128" i="23"/>
  <c r="M129" i="23"/>
  <c r="R128" i="23"/>
  <c r="AO131" i="23"/>
  <c r="I129" i="23"/>
  <c r="J54" i="23"/>
  <c r="G129" i="23"/>
  <c r="D130" i="23"/>
  <c r="AG129" i="23"/>
  <c r="Z54" i="23"/>
  <c r="AI129" i="23"/>
  <c r="AA54" i="23"/>
  <c r="W54" i="23"/>
  <c r="J97" i="11"/>
  <c r="AH129" i="23"/>
  <c r="AE130" i="23"/>
  <c r="AJ129" i="23"/>
  <c r="AP131" i="23"/>
  <c r="AD56" i="23"/>
  <c r="AR131" i="23"/>
  <c r="E130" i="23"/>
  <c r="V54" i="23"/>
  <c r="K199" i="8"/>
  <c r="N129" i="23"/>
  <c r="AE56" i="23"/>
  <c r="AF56" i="23"/>
  <c r="AS131" i="23"/>
  <c r="AQ131" i="23"/>
  <c r="AN132" i="23"/>
  <c r="AF130" i="23"/>
  <c r="O129" i="23"/>
  <c r="M54" i="23"/>
  <c r="E54" i="23"/>
  <c r="K196" i="8"/>
  <c r="Q129" i="23"/>
  <c r="F130" i="23"/>
  <c r="H130" i="23"/>
  <c r="I55" i="23"/>
  <c r="AB54" i="23"/>
  <c r="X54" i="23"/>
  <c r="J100" i="11"/>
  <c r="N54" i="23"/>
  <c r="F54" i="23"/>
  <c r="J96" i="11"/>
  <c r="R129" i="23"/>
  <c r="P129" i="23"/>
  <c r="M130" i="23"/>
  <c r="AG130" i="23"/>
  <c r="Z55" i="23"/>
  <c r="AI130" i="23"/>
  <c r="AO132" i="23"/>
  <c r="I130" i="23"/>
  <c r="J55" i="23"/>
  <c r="G130" i="23"/>
  <c r="D131" i="23"/>
  <c r="AP132" i="23"/>
  <c r="AD57" i="23"/>
  <c r="AR132" i="23"/>
  <c r="N130" i="23"/>
  <c r="AA55" i="23"/>
  <c r="W55" i="23"/>
  <c r="K97" i="11"/>
  <c r="AH130" i="23"/>
  <c r="AE131" i="23"/>
  <c r="AJ130" i="23"/>
  <c r="V55" i="23"/>
  <c r="L199" i="8"/>
  <c r="E131" i="23"/>
  <c r="H131" i="23"/>
  <c r="F131" i="23"/>
  <c r="I56" i="23"/>
  <c r="AF131" i="23"/>
  <c r="AE57" i="23"/>
  <c r="AF57" i="23"/>
  <c r="AQ132" i="23"/>
  <c r="AN133" i="23"/>
  <c r="AS132" i="23"/>
  <c r="AB55" i="23"/>
  <c r="X55" i="23"/>
  <c r="K100" i="11"/>
  <c r="O130" i="23"/>
  <c r="M55" i="23"/>
  <c r="E55" i="23"/>
  <c r="L196" i="8"/>
  <c r="L201" i="8" s="1"/>
  <c r="Q130" i="23"/>
  <c r="I131" i="23"/>
  <c r="J56" i="23"/>
  <c r="G131" i="23"/>
  <c r="D132" i="23"/>
  <c r="N55" i="23"/>
  <c r="F55" i="23"/>
  <c r="K96" i="11"/>
  <c r="P130" i="23"/>
  <c r="M131" i="23"/>
  <c r="R130" i="23"/>
  <c r="AO133" i="23"/>
  <c r="AG131" i="23"/>
  <c r="Z56" i="23"/>
  <c r="AI131" i="23"/>
  <c r="AA56" i="23"/>
  <c r="W56" i="23"/>
  <c r="L97" i="11"/>
  <c r="AJ131" i="23"/>
  <c r="AH131" i="23"/>
  <c r="AE132" i="23"/>
  <c r="E132" i="23"/>
  <c r="V56" i="23"/>
  <c r="M199" i="8"/>
  <c r="AP133" i="23"/>
  <c r="AD58" i="23"/>
  <c r="AR133" i="23"/>
  <c r="N131" i="23"/>
  <c r="O131" i="23"/>
  <c r="M56" i="23"/>
  <c r="E56" i="23"/>
  <c r="M196" i="8"/>
  <c r="M201" i="8" s="1"/>
  <c r="Q131" i="23"/>
  <c r="AE58" i="23"/>
  <c r="AF58" i="23"/>
  <c r="AS133" i="23"/>
  <c r="AQ133" i="23"/>
  <c r="AN134" i="23"/>
  <c r="AB56" i="23"/>
  <c r="X56" i="23"/>
  <c r="L100" i="11"/>
  <c r="AF132" i="23"/>
  <c r="F132" i="23"/>
  <c r="H132" i="23"/>
  <c r="I57" i="23"/>
  <c r="I132" i="23"/>
  <c r="J57" i="23"/>
  <c r="G132" i="23"/>
  <c r="D133" i="23"/>
  <c r="N56" i="23"/>
  <c r="F56" i="23"/>
  <c r="L96" i="11"/>
  <c r="R131" i="23"/>
  <c r="P131" i="23"/>
  <c r="M132" i="23"/>
  <c r="AO134" i="23"/>
  <c r="AG132" i="23"/>
  <c r="Z57" i="23"/>
  <c r="AI132" i="23"/>
  <c r="N132" i="23"/>
  <c r="AA57" i="23"/>
  <c r="W57" i="23"/>
  <c r="M97" i="11"/>
  <c r="AH132" i="23"/>
  <c r="AE133" i="23"/>
  <c r="AJ132" i="23"/>
  <c r="E133" i="23"/>
  <c r="V57" i="23"/>
  <c r="N199" i="8"/>
  <c r="AP134" i="23"/>
  <c r="AD59" i="23"/>
  <c r="AR134" i="23"/>
  <c r="AB57" i="23"/>
  <c r="X57" i="23"/>
  <c r="O132" i="23"/>
  <c r="M57" i="23"/>
  <c r="E57" i="23"/>
  <c r="N196" i="8"/>
  <c r="Q132" i="23"/>
  <c r="H133" i="23"/>
  <c r="F133" i="23"/>
  <c r="I58" i="23"/>
  <c r="AE59" i="23"/>
  <c r="AF59" i="23"/>
  <c r="AQ134" i="23"/>
  <c r="AN135" i="23"/>
  <c r="AS134" i="23"/>
  <c r="AF133" i="23"/>
  <c r="AG133" i="23"/>
  <c r="Z58" i="23"/>
  <c r="AI133" i="23"/>
  <c r="N57" i="23"/>
  <c r="F57" i="23"/>
  <c r="M96" i="11"/>
  <c r="R132" i="23"/>
  <c r="P132" i="23"/>
  <c r="M133" i="23"/>
  <c r="I133" i="23"/>
  <c r="J58" i="23"/>
  <c r="G133" i="23"/>
  <c r="D134" i="23"/>
  <c r="AO135" i="23"/>
  <c r="E134" i="23"/>
  <c r="AA58" i="23"/>
  <c r="AH133" i="23"/>
  <c r="AE134" i="23"/>
  <c r="AJ133" i="23"/>
  <c r="AP135" i="23"/>
  <c r="AD60" i="23"/>
  <c r="AR135" i="23"/>
  <c r="N133" i="23"/>
  <c r="V58" i="23"/>
  <c r="W58" i="23"/>
  <c r="J19" i="23"/>
  <c r="H134" i="23"/>
  <c r="F134" i="23"/>
  <c r="I59" i="23"/>
  <c r="AE60" i="23"/>
  <c r="AF60" i="23"/>
  <c r="AS135" i="23"/>
  <c r="AQ135" i="23"/>
  <c r="AN136" i="23"/>
  <c r="AF134" i="23"/>
  <c r="O133" i="23"/>
  <c r="M58" i="23"/>
  <c r="E58" i="23"/>
  <c r="Q133" i="23"/>
  <c r="O199" i="8"/>
  <c r="K13" i="23"/>
  <c r="AB58" i="23"/>
  <c r="X58" i="23"/>
  <c r="N97" i="11"/>
  <c r="L13" i="23"/>
  <c r="E55" i="10"/>
  <c r="E46" i="10"/>
  <c r="O196" i="8"/>
  <c r="O201" i="8" s="1"/>
  <c r="O203" i="8" s="1"/>
  <c r="E13" i="23"/>
  <c r="AG134" i="23"/>
  <c r="Z59" i="23"/>
  <c r="AI134" i="23"/>
  <c r="N58" i="23"/>
  <c r="P133" i="23"/>
  <c r="M134" i="23"/>
  <c r="R133" i="23"/>
  <c r="N100" i="11"/>
  <c r="M13" i="23"/>
  <c r="AO136" i="23"/>
  <c r="I134" i="23"/>
  <c r="J59" i="23"/>
  <c r="G134" i="23"/>
  <c r="D135" i="23"/>
  <c r="F58" i="23"/>
  <c r="D19" i="23"/>
  <c r="E135" i="23"/>
  <c r="AP136" i="23"/>
  <c r="AD61" i="23"/>
  <c r="AR136" i="23"/>
  <c r="N134" i="23"/>
  <c r="AA59" i="23"/>
  <c r="AJ134" i="23"/>
  <c r="AH134" i="23"/>
  <c r="AE135" i="23"/>
  <c r="V59" i="23"/>
  <c r="E45" i="10"/>
  <c r="D277" i="8"/>
  <c r="W59" i="23"/>
  <c r="F135" i="23"/>
  <c r="H135" i="23"/>
  <c r="I60" i="23"/>
  <c r="AF135" i="23"/>
  <c r="O134" i="23"/>
  <c r="M59" i="23"/>
  <c r="E59" i="23"/>
  <c r="Q134" i="23"/>
  <c r="AE61" i="23"/>
  <c r="AQ136" i="23"/>
  <c r="AN137" i="23"/>
  <c r="AS136" i="23"/>
  <c r="AB59" i="23"/>
  <c r="X59" i="23"/>
  <c r="N96" i="11"/>
  <c r="F13" i="23"/>
  <c r="AF61" i="23"/>
  <c r="AO137" i="23"/>
  <c r="N59" i="23"/>
  <c r="F59" i="23"/>
  <c r="P134" i="23"/>
  <c r="M135" i="23"/>
  <c r="R134" i="23"/>
  <c r="D274" i="8"/>
  <c r="C133" i="11"/>
  <c r="E51" i="10"/>
  <c r="C136" i="11"/>
  <c r="AG135" i="23"/>
  <c r="Z60" i="23"/>
  <c r="AI135" i="23"/>
  <c r="I135" i="23"/>
  <c r="J60" i="23"/>
  <c r="G135" i="23"/>
  <c r="D136" i="23"/>
  <c r="AP137" i="23"/>
  <c r="AD62" i="23"/>
  <c r="AR137" i="23"/>
  <c r="E136" i="23"/>
  <c r="AA60" i="23"/>
  <c r="AH135" i="23"/>
  <c r="AE136" i="23"/>
  <c r="AJ135" i="23"/>
  <c r="E96" i="10"/>
  <c r="C132" i="11"/>
  <c r="V60" i="23"/>
  <c r="N135" i="23"/>
  <c r="AE62" i="23"/>
  <c r="AF62" i="23"/>
  <c r="AS137" i="23"/>
  <c r="AQ137" i="23"/>
  <c r="AN138" i="23"/>
  <c r="W60" i="23"/>
  <c r="O135" i="23"/>
  <c r="M60" i="23"/>
  <c r="E60" i="23"/>
  <c r="Q135" i="23"/>
  <c r="E277" i="8"/>
  <c r="AF136" i="23"/>
  <c r="AB60" i="23"/>
  <c r="X60" i="23"/>
  <c r="H136" i="23"/>
  <c r="F136" i="23"/>
  <c r="I61" i="23"/>
  <c r="E274" i="8"/>
  <c r="AO138" i="23"/>
  <c r="I136" i="23"/>
  <c r="J61" i="23"/>
  <c r="G136" i="23"/>
  <c r="D137" i="23"/>
  <c r="D133" i="11"/>
  <c r="D136" i="11"/>
  <c r="AG136" i="23"/>
  <c r="Z61" i="23"/>
  <c r="AI136" i="23"/>
  <c r="N60" i="23"/>
  <c r="F60" i="23"/>
  <c r="P135" i="23"/>
  <c r="M136" i="23"/>
  <c r="R135" i="23"/>
  <c r="AA61" i="23"/>
  <c r="AH136" i="23"/>
  <c r="AE137" i="23"/>
  <c r="AJ136" i="23"/>
  <c r="D132" i="11"/>
  <c r="AP138" i="23"/>
  <c r="AD63" i="23"/>
  <c r="AR138" i="23"/>
  <c r="N136" i="23"/>
  <c r="V61" i="23"/>
  <c r="E137" i="23"/>
  <c r="W61" i="23"/>
  <c r="AF137" i="23"/>
  <c r="O136" i="23"/>
  <c r="M61" i="23"/>
  <c r="E61" i="23"/>
  <c r="Q136" i="23"/>
  <c r="F137" i="23"/>
  <c r="H137" i="23"/>
  <c r="I62" i="23"/>
  <c r="AE63" i="23"/>
  <c r="AF63" i="23"/>
  <c r="AQ138" i="23"/>
  <c r="AN139" i="23"/>
  <c r="AS138" i="23"/>
  <c r="F277" i="8"/>
  <c r="AB61" i="23"/>
  <c r="X61" i="23"/>
  <c r="F274" i="8"/>
  <c r="E136" i="11"/>
  <c r="AO139" i="23"/>
  <c r="I137" i="23"/>
  <c r="J62" i="23"/>
  <c r="G137" i="23"/>
  <c r="D138" i="23"/>
  <c r="E133" i="11"/>
  <c r="N61" i="23"/>
  <c r="F61" i="23"/>
  <c r="P136" i="23"/>
  <c r="M137" i="23"/>
  <c r="R136" i="23"/>
  <c r="AG137" i="23"/>
  <c r="Z62" i="23"/>
  <c r="AI137" i="23"/>
  <c r="AA62" i="23"/>
  <c r="AJ137" i="23"/>
  <c r="AH137" i="23"/>
  <c r="AE138" i="23"/>
  <c r="E138" i="23"/>
  <c r="AP139" i="23"/>
  <c r="AD64" i="23"/>
  <c r="AR139" i="23"/>
  <c r="V62" i="23"/>
  <c r="N137" i="23"/>
  <c r="E132" i="11"/>
  <c r="O137" i="23"/>
  <c r="M62" i="23"/>
  <c r="E62" i="23"/>
  <c r="Q137" i="23"/>
  <c r="AE64" i="23"/>
  <c r="AF64" i="23"/>
  <c r="AS139" i="23"/>
  <c r="AQ139" i="23"/>
  <c r="AN140" i="23"/>
  <c r="W62" i="23"/>
  <c r="G277" i="8"/>
  <c r="AF138" i="23"/>
  <c r="AB62" i="23"/>
  <c r="X62" i="23"/>
  <c r="H138" i="23"/>
  <c r="F138" i="23"/>
  <c r="I63" i="23"/>
  <c r="AG138" i="23"/>
  <c r="Z63" i="23"/>
  <c r="AI138" i="23"/>
  <c r="N62" i="23"/>
  <c r="F62" i="23"/>
  <c r="P137" i="23"/>
  <c r="M138" i="23"/>
  <c r="R137" i="23"/>
  <c r="G274" i="8"/>
  <c r="I138" i="23"/>
  <c r="J63" i="23"/>
  <c r="G138" i="23"/>
  <c r="D139" i="23"/>
  <c r="AO140" i="23"/>
  <c r="F136" i="11"/>
  <c r="F133" i="11"/>
  <c r="E139" i="23"/>
  <c r="N138" i="23"/>
  <c r="AA63" i="23"/>
  <c r="AJ138" i="23"/>
  <c r="AH138" i="23"/>
  <c r="AE139" i="23"/>
  <c r="V63" i="23"/>
  <c r="AP140" i="23"/>
  <c r="AD65" i="23"/>
  <c r="AR140" i="23"/>
  <c r="F132" i="11"/>
  <c r="W63" i="23"/>
  <c r="AE65" i="23"/>
  <c r="AF65" i="23"/>
  <c r="AS140" i="23"/>
  <c r="AQ140" i="23"/>
  <c r="AN141" i="23"/>
  <c r="AB63" i="23"/>
  <c r="X63" i="23"/>
  <c r="AF139" i="23"/>
  <c r="O138" i="23"/>
  <c r="M63" i="23"/>
  <c r="E63" i="23"/>
  <c r="Q138" i="23"/>
  <c r="H139" i="23"/>
  <c r="F139" i="23"/>
  <c r="I64" i="23"/>
  <c r="H277" i="8"/>
  <c r="I139" i="23"/>
  <c r="J64" i="23"/>
  <c r="G139" i="23"/>
  <c r="D140" i="23"/>
  <c r="N63" i="23"/>
  <c r="F63" i="23"/>
  <c r="P138" i="23"/>
  <c r="M139" i="23"/>
  <c r="R138" i="23"/>
  <c r="G136" i="11"/>
  <c r="G133" i="11"/>
  <c r="AG139" i="23"/>
  <c r="Z64" i="23"/>
  <c r="AI139" i="23"/>
  <c r="H274" i="8"/>
  <c r="AO141" i="23"/>
  <c r="AP141" i="23"/>
  <c r="AD66" i="23"/>
  <c r="AR141" i="23"/>
  <c r="N139" i="23"/>
  <c r="AA64" i="23"/>
  <c r="W64" i="23"/>
  <c r="H133" i="11"/>
  <c r="AH139" i="23"/>
  <c r="AE140" i="23"/>
  <c r="AJ139" i="23"/>
  <c r="E140" i="23"/>
  <c r="V64" i="23"/>
  <c r="I277" i="8"/>
  <c r="G132" i="11"/>
  <c r="O139" i="23"/>
  <c r="M64" i="23"/>
  <c r="E64" i="23"/>
  <c r="I274" i="8"/>
  <c r="Q139" i="23"/>
  <c r="AE66" i="23"/>
  <c r="AF66" i="23"/>
  <c r="AS141" i="23"/>
  <c r="AQ141" i="23"/>
  <c r="AN142" i="23"/>
  <c r="H140" i="23"/>
  <c r="F140" i="23"/>
  <c r="I65" i="23"/>
  <c r="AF140" i="23"/>
  <c r="AB64" i="23"/>
  <c r="X64" i="23"/>
  <c r="H136" i="11"/>
  <c r="AO142" i="23"/>
  <c r="AG140" i="23"/>
  <c r="Z65" i="23"/>
  <c r="AI140" i="23"/>
  <c r="I140" i="23"/>
  <c r="J65" i="23"/>
  <c r="G140" i="23"/>
  <c r="D141" i="23"/>
  <c r="N64" i="23"/>
  <c r="F64" i="23"/>
  <c r="H132" i="11"/>
  <c r="P139" i="23"/>
  <c r="M140" i="23"/>
  <c r="R139" i="23"/>
  <c r="AP142" i="23"/>
  <c r="AD67" i="23"/>
  <c r="AR142" i="23"/>
  <c r="N140" i="23"/>
  <c r="E141" i="23"/>
  <c r="AA65" i="23"/>
  <c r="W65" i="23"/>
  <c r="I133" i="11"/>
  <c r="AJ140" i="23"/>
  <c r="AH140" i="23"/>
  <c r="AE141" i="23"/>
  <c r="V65" i="23"/>
  <c r="J277" i="8"/>
  <c r="AE67" i="23"/>
  <c r="AF67" i="23"/>
  <c r="AQ142" i="23"/>
  <c r="AN143" i="23"/>
  <c r="AS142" i="23"/>
  <c r="AF141" i="23"/>
  <c r="H141" i="23"/>
  <c r="F141" i="23"/>
  <c r="I66" i="23"/>
  <c r="O140" i="23"/>
  <c r="M65" i="23"/>
  <c r="E65" i="23"/>
  <c r="J274" i="8"/>
  <c r="Q140" i="23"/>
  <c r="AB65" i="23"/>
  <c r="X65" i="23"/>
  <c r="I136" i="11"/>
  <c r="N65" i="23"/>
  <c r="F65" i="23"/>
  <c r="I132" i="11"/>
  <c r="R140" i="23"/>
  <c r="P140" i="23"/>
  <c r="M141" i="23"/>
  <c r="AO143" i="23"/>
  <c r="AG141" i="23"/>
  <c r="Z66" i="23"/>
  <c r="AI141" i="23"/>
  <c r="I141" i="23"/>
  <c r="J66" i="23"/>
  <c r="G141" i="23"/>
  <c r="D142" i="23"/>
  <c r="E142" i="23"/>
  <c r="N141" i="23"/>
  <c r="AA66" i="23"/>
  <c r="W66" i="23"/>
  <c r="J133" i="11"/>
  <c r="AH141" i="23"/>
  <c r="AE142" i="23"/>
  <c r="AJ141" i="23"/>
  <c r="AP143" i="23"/>
  <c r="AD68" i="23"/>
  <c r="AR143" i="23"/>
  <c r="V66" i="23"/>
  <c r="K277" i="8"/>
  <c r="H142" i="23"/>
  <c r="F142" i="23"/>
  <c r="I67" i="23"/>
  <c r="AB66" i="23"/>
  <c r="X66" i="23"/>
  <c r="AE68" i="23"/>
  <c r="AF68" i="23"/>
  <c r="AQ143" i="23"/>
  <c r="AN144" i="23"/>
  <c r="AS143" i="23"/>
  <c r="O141" i="23"/>
  <c r="M66" i="23"/>
  <c r="E66" i="23"/>
  <c r="K274" i="8"/>
  <c r="Q141" i="23"/>
  <c r="AF142" i="23"/>
  <c r="N66" i="23"/>
  <c r="F66" i="23"/>
  <c r="J132" i="11"/>
  <c r="P141" i="23"/>
  <c r="M142" i="23"/>
  <c r="R141" i="23"/>
  <c r="AO144" i="23"/>
  <c r="AG142" i="23"/>
  <c r="Z67" i="23"/>
  <c r="AI142" i="23"/>
  <c r="I142" i="23"/>
  <c r="J67" i="23"/>
  <c r="G142" i="23"/>
  <c r="D143" i="23"/>
  <c r="V67" i="23"/>
  <c r="L277" i="8"/>
  <c r="E143" i="23"/>
  <c r="AP144" i="23"/>
  <c r="AD69" i="23"/>
  <c r="AR144" i="23"/>
  <c r="AA67" i="23"/>
  <c r="W67" i="23"/>
  <c r="K133" i="11"/>
  <c r="AJ142" i="23"/>
  <c r="AH142" i="23"/>
  <c r="AE143" i="23"/>
  <c r="N142" i="23"/>
  <c r="H143" i="23"/>
  <c r="F143" i="23"/>
  <c r="I68" i="23"/>
  <c r="AE69" i="23"/>
  <c r="AF69" i="23"/>
  <c r="AS144" i="23"/>
  <c r="AQ144" i="23"/>
  <c r="AN145" i="23"/>
  <c r="AB67" i="23"/>
  <c r="X67" i="23"/>
  <c r="K136" i="11"/>
  <c r="AF143" i="23"/>
  <c r="O142" i="23"/>
  <c r="M67" i="23"/>
  <c r="E67" i="23"/>
  <c r="L274" i="8"/>
  <c r="Q142" i="23"/>
  <c r="AO145" i="23"/>
  <c r="I143" i="23"/>
  <c r="J68" i="23"/>
  <c r="G143" i="23"/>
  <c r="D144" i="23"/>
  <c r="AG143" i="23"/>
  <c r="Z68" i="23"/>
  <c r="AI143" i="23"/>
  <c r="N67" i="23"/>
  <c r="F67" i="23"/>
  <c r="K132" i="11"/>
  <c r="P142" i="23"/>
  <c r="M143" i="23"/>
  <c r="R142" i="23"/>
  <c r="AA68" i="23"/>
  <c r="W68" i="23"/>
  <c r="L133" i="11"/>
  <c r="AJ143" i="23"/>
  <c r="AH143" i="23"/>
  <c r="AE144" i="23"/>
  <c r="N143" i="23"/>
  <c r="E144" i="23"/>
  <c r="AP145" i="23"/>
  <c r="AD70" i="23"/>
  <c r="AR145" i="23"/>
  <c r="V68" i="23"/>
  <c r="M277" i="8"/>
  <c r="AF144" i="23"/>
  <c r="O143" i="23"/>
  <c r="M68" i="23"/>
  <c r="E68" i="23"/>
  <c r="M274" i="8"/>
  <c r="Q143" i="23"/>
  <c r="AE70" i="23"/>
  <c r="AF70" i="23"/>
  <c r="AQ145" i="23"/>
  <c r="AS145" i="23"/>
  <c r="F144" i="23"/>
  <c r="H144" i="23"/>
  <c r="I69" i="23"/>
  <c r="AB68" i="23"/>
  <c r="X68" i="23"/>
  <c r="L136" i="11"/>
  <c r="I144" i="23"/>
  <c r="J69" i="23"/>
  <c r="G144" i="23"/>
  <c r="D145" i="23"/>
  <c r="N68" i="23"/>
  <c r="F68" i="23"/>
  <c r="L132" i="11"/>
  <c r="P143" i="23"/>
  <c r="M144" i="23"/>
  <c r="R143" i="23"/>
  <c r="AG144" i="23"/>
  <c r="Z69" i="23"/>
  <c r="AI144" i="23"/>
  <c r="V69" i="23"/>
  <c r="N277" i="8"/>
  <c r="N144" i="23"/>
  <c r="AA69" i="23"/>
  <c r="W69" i="23"/>
  <c r="M133" i="11"/>
  <c r="AH144" i="23"/>
  <c r="AE145" i="23"/>
  <c r="AJ144" i="23"/>
  <c r="E145" i="23"/>
  <c r="F145" i="23"/>
  <c r="H145" i="23"/>
  <c r="I70" i="23"/>
  <c r="AB69" i="23"/>
  <c r="X69" i="23"/>
  <c r="M136" i="11"/>
  <c r="AF145" i="23"/>
  <c r="O144" i="23"/>
  <c r="M69" i="23"/>
  <c r="E69" i="23"/>
  <c r="N274" i="8"/>
  <c r="Q144" i="23"/>
  <c r="AG145" i="23"/>
  <c r="Z70" i="23"/>
  <c r="AI145" i="23"/>
  <c r="I145" i="23"/>
  <c r="J70" i="23"/>
  <c r="G145" i="23"/>
  <c r="D146" i="23"/>
  <c r="N69" i="23"/>
  <c r="F69" i="23"/>
  <c r="M132" i="11"/>
  <c r="P144" i="23"/>
  <c r="M145" i="23"/>
  <c r="R144" i="23"/>
  <c r="E146" i="23"/>
  <c r="V70" i="23"/>
  <c r="N145" i="23"/>
  <c r="AA70" i="23"/>
  <c r="AB70" i="23"/>
  <c r="X70" i="23"/>
  <c r="AH145" i="23"/>
  <c r="AJ145" i="23"/>
  <c r="M14" i="23"/>
  <c r="F146" i="23"/>
  <c r="H146" i="23"/>
  <c r="I71" i="23"/>
  <c r="O145" i="23"/>
  <c r="M70" i="23"/>
  <c r="E70" i="23"/>
  <c r="Q145" i="23"/>
  <c r="W70" i="23"/>
  <c r="K19" i="23"/>
  <c r="O277" i="8"/>
  <c r="K14" i="23"/>
  <c r="N133" i="11"/>
  <c r="L14" i="23"/>
  <c r="I46" i="10"/>
  <c r="G55" i="10"/>
  <c r="G46" i="10"/>
  <c r="N70" i="23"/>
  <c r="R145" i="23"/>
  <c r="P145" i="23"/>
  <c r="M146" i="23"/>
  <c r="I146" i="23"/>
  <c r="J71" i="23"/>
  <c r="G146" i="23"/>
  <c r="D147" i="23"/>
  <c r="O274" i="8"/>
  <c r="O279" i="8" s="1"/>
  <c r="O281" i="8" s="1"/>
  <c r="E14" i="23"/>
  <c r="E19" i="23"/>
  <c r="F70" i="23"/>
  <c r="E147" i="23"/>
  <c r="N146" i="23"/>
  <c r="O146" i="23"/>
  <c r="M71" i="23"/>
  <c r="E71" i="23"/>
  <c r="Q146" i="23"/>
  <c r="N132" i="11"/>
  <c r="F14" i="23"/>
  <c r="F147" i="23"/>
  <c r="H147" i="23"/>
  <c r="I72" i="23"/>
  <c r="I147" i="23"/>
  <c r="J72" i="23"/>
  <c r="G147" i="23"/>
  <c r="D148" i="23"/>
  <c r="N71" i="23"/>
  <c r="F71" i="23"/>
  <c r="P146" i="23"/>
  <c r="M147" i="23"/>
  <c r="R146" i="23"/>
  <c r="E148" i="23"/>
  <c r="N147" i="23"/>
  <c r="O147" i="23"/>
  <c r="M72" i="23"/>
  <c r="E72" i="23"/>
  <c r="Q147" i="23"/>
  <c r="F148" i="23"/>
  <c r="H148" i="23"/>
  <c r="I73" i="23"/>
  <c r="N72" i="23"/>
  <c r="F72" i="23"/>
  <c r="P147" i="23"/>
  <c r="M148" i="23"/>
  <c r="R147" i="23"/>
  <c r="I148" i="23"/>
  <c r="J73" i="23"/>
  <c r="G148" i="23"/>
  <c r="D149" i="23"/>
  <c r="N148" i="23"/>
  <c r="E149" i="23"/>
  <c r="O148" i="23"/>
  <c r="M73" i="23"/>
  <c r="E73" i="23"/>
  <c r="Q148" i="23"/>
  <c r="F149" i="23"/>
  <c r="H149" i="23"/>
  <c r="I74" i="23"/>
  <c r="I149" i="23"/>
  <c r="J74" i="23"/>
  <c r="G149" i="23"/>
  <c r="D150" i="23"/>
  <c r="N73" i="23"/>
  <c r="F73" i="23"/>
  <c r="P148" i="23"/>
  <c r="M149" i="23"/>
  <c r="R148" i="23"/>
  <c r="E150" i="23"/>
  <c r="N149" i="23"/>
  <c r="F150" i="23"/>
  <c r="H150" i="23"/>
  <c r="I75" i="23"/>
  <c r="O149" i="23"/>
  <c r="M74" i="23"/>
  <c r="E74" i="23"/>
  <c r="Q149" i="23"/>
  <c r="I150" i="23"/>
  <c r="J75" i="23"/>
  <c r="G150" i="23"/>
  <c r="D151" i="23"/>
  <c r="N74" i="23"/>
  <c r="F74" i="23"/>
  <c r="R149" i="23"/>
  <c r="P149" i="23"/>
  <c r="M150" i="23"/>
  <c r="E151" i="23"/>
  <c r="N150" i="23"/>
  <c r="O150" i="23"/>
  <c r="M75" i="23"/>
  <c r="E75" i="23"/>
  <c r="Q150" i="23"/>
  <c r="F151" i="23"/>
  <c r="H151" i="23"/>
  <c r="I76" i="23"/>
  <c r="N75" i="23"/>
  <c r="F75" i="23"/>
  <c r="P150" i="23"/>
  <c r="M151" i="23"/>
  <c r="R150" i="23"/>
  <c r="I151" i="23"/>
  <c r="J76" i="23"/>
  <c r="G151" i="23"/>
  <c r="D152" i="23"/>
  <c r="N151" i="23"/>
  <c r="E152" i="23"/>
  <c r="O151" i="23"/>
  <c r="M76" i="23"/>
  <c r="E76" i="23"/>
  <c r="Q151" i="23"/>
  <c r="H152" i="23"/>
  <c r="F152" i="23"/>
  <c r="I77" i="23"/>
  <c r="I152" i="23"/>
  <c r="J77" i="23"/>
  <c r="G152" i="23"/>
  <c r="D153" i="23"/>
  <c r="N76" i="23"/>
  <c r="F76" i="23"/>
  <c r="P151" i="23"/>
  <c r="M152" i="23"/>
  <c r="R151" i="23"/>
  <c r="N152" i="23"/>
  <c r="E153" i="23"/>
  <c r="O152" i="23"/>
  <c r="M77" i="23"/>
  <c r="E77" i="23"/>
  <c r="Q152" i="23"/>
  <c r="F153" i="23"/>
  <c r="H153" i="23"/>
  <c r="I78" i="23"/>
  <c r="N77" i="23"/>
  <c r="F77" i="23"/>
  <c r="P152" i="23"/>
  <c r="M153" i="23"/>
  <c r="R152" i="23"/>
  <c r="I153" i="23"/>
  <c r="J78" i="23"/>
  <c r="G153" i="23"/>
  <c r="D154" i="23"/>
  <c r="N153" i="23"/>
  <c r="E154" i="23"/>
  <c r="O153" i="23"/>
  <c r="M78" i="23"/>
  <c r="E78" i="23"/>
  <c r="Q153" i="23"/>
  <c r="F154" i="23"/>
  <c r="H154" i="23"/>
  <c r="I79" i="23"/>
  <c r="N78" i="23"/>
  <c r="F78" i="23"/>
  <c r="P153" i="23"/>
  <c r="M154" i="23"/>
  <c r="R153" i="23"/>
  <c r="I154" i="23"/>
  <c r="J79" i="23"/>
  <c r="G154" i="23"/>
  <c r="D155" i="23"/>
  <c r="N154" i="23"/>
  <c r="E155" i="23"/>
  <c r="F155" i="23"/>
  <c r="H155" i="23"/>
  <c r="I80" i="23"/>
  <c r="O154" i="23"/>
  <c r="M79" i="23"/>
  <c r="E79" i="23"/>
  <c r="Q154" i="23"/>
  <c r="I155" i="23"/>
  <c r="J80" i="23"/>
  <c r="G155" i="23"/>
  <c r="D156" i="23"/>
  <c r="N79" i="23"/>
  <c r="F79" i="23"/>
  <c r="R154" i="23"/>
  <c r="P154" i="23"/>
  <c r="M155" i="23"/>
  <c r="N155" i="23"/>
  <c r="E156" i="23"/>
  <c r="O155" i="23"/>
  <c r="M80" i="23"/>
  <c r="E80" i="23"/>
  <c r="Q155" i="23"/>
  <c r="H156" i="23"/>
  <c r="F156" i="23"/>
  <c r="I81" i="23"/>
  <c r="I156" i="23"/>
  <c r="J81" i="23"/>
  <c r="G156" i="23"/>
  <c r="D157" i="23"/>
  <c r="N80" i="23"/>
  <c r="F80" i="23"/>
  <c r="P155" i="23"/>
  <c r="M156" i="23"/>
  <c r="R155" i="23"/>
  <c r="N156" i="23"/>
  <c r="E157" i="23"/>
  <c r="O156" i="23"/>
  <c r="M81" i="23"/>
  <c r="E81" i="23"/>
  <c r="Q156" i="23"/>
  <c r="H157" i="23"/>
  <c r="F157" i="23"/>
  <c r="I82" i="23"/>
  <c r="I157" i="23"/>
  <c r="J82" i="23"/>
  <c r="G157" i="23"/>
  <c r="D158" i="23"/>
  <c r="N81" i="23"/>
  <c r="F81" i="23"/>
  <c r="P156" i="23"/>
  <c r="M157" i="23"/>
  <c r="R156" i="23"/>
  <c r="N157" i="23"/>
  <c r="E158" i="23"/>
  <c r="H158" i="23"/>
  <c r="F158" i="23"/>
  <c r="O157" i="23"/>
  <c r="M82" i="23"/>
  <c r="E82" i="23"/>
  <c r="E15" i="23"/>
  <c r="Q157" i="23"/>
  <c r="I158" i="23"/>
  <c r="G158" i="23"/>
  <c r="D159" i="23"/>
  <c r="N82" i="23"/>
  <c r="R157" i="23"/>
  <c r="P157" i="23"/>
  <c r="M158" i="23"/>
  <c r="E159" i="23"/>
  <c r="N158" i="23"/>
  <c r="F19" i="23"/>
  <c r="F82" i="23"/>
  <c r="F15" i="23"/>
  <c r="H159" i="23"/>
  <c r="F159" i="23"/>
  <c r="O158" i="23"/>
  <c r="Q158" i="23"/>
  <c r="P158" i="23"/>
  <c r="M159" i="23"/>
  <c r="R158" i="23"/>
  <c r="I159" i="23"/>
  <c r="G159" i="23"/>
  <c r="D160" i="23"/>
  <c r="N159" i="23"/>
  <c r="E160" i="23"/>
  <c r="F160" i="23"/>
  <c r="H160" i="23"/>
  <c r="O159" i="23"/>
  <c r="Q159" i="23"/>
  <c r="I160" i="23"/>
  <c r="G160" i="23"/>
  <c r="D161" i="23"/>
  <c r="P159" i="23"/>
  <c r="M160" i="23"/>
  <c r="R159" i="23"/>
  <c r="E161" i="23"/>
  <c r="N160" i="23"/>
  <c r="H161" i="23"/>
  <c r="F161" i="23"/>
  <c r="O160" i="23"/>
  <c r="Q160" i="23"/>
  <c r="P160" i="23"/>
  <c r="M161" i="23"/>
  <c r="R160" i="23"/>
  <c r="I161" i="23"/>
  <c r="G161" i="23"/>
  <c r="D162" i="23"/>
  <c r="N161" i="23"/>
  <c r="E162" i="23"/>
  <c r="O161" i="23"/>
  <c r="Q161" i="23"/>
  <c r="F162" i="23"/>
  <c r="H162" i="23"/>
  <c r="R161" i="23"/>
  <c r="P161" i="23"/>
  <c r="M162" i="23"/>
  <c r="I162" i="23"/>
  <c r="G162" i="23"/>
  <c r="D163" i="23"/>
  <c r="E163" i="23"/>
  <c r="N162" i="23"/>
  <c r="O162" i="23"/>
  <c r="Q162" i="23"/>
  <c r="H163" i="23"/>
  <c r="F163" i="23"/>
  <c r="P162" i="23"/>
  <c r="M163" i="23"/>
  <c r="R162" i="23"/>
  <c r="I163" i="23"/>
  <c r="G163" i="23"/>
  <c r="D164" i="23"/>
  <c r="N163" i="23"/>
  <c r="E164" i="23"/>
  <c r="O163" i="23"/>
  <c r="Q163" i="23"/>
  <c r="H164" i="23"/>
  <c r="F164" i="23"/>
  <c r="R163" i="23"/>
  <c r="P163" i="23"/>
  <c r="M164" i="23"/>
  <c r="I164" i="23"/>
  <c r="G164" i="23"/>
  <c r="D165" i="23"/>
  <c r="E165" i="23"/>
  <c r="N164" i="23"/>
  <c r="H165" i="23"/>
  <c r="F165" i="23"/>
  <c r="O164" i="23"/>
  <c r="Q164" i="23"/>
  <c r="R164" i="23"/>
  <c r="P164" i="23"/>
  <c r="M165" i="23"/>
  <c r="I165" i="23"/>
  <c r="G165" i="23"/>
  <c r="D166" i="23"/>
  <c r="N165" i="23"/>
  <c r="E166" i="23"/>
  <c r="O165" i="23"/>
  <c r="Q165" i="23"/>
  <c r="H166" i="23"/>
  <c r="F166" i="23"/>
  <c r="P165" i="23"/>
  <c r="M166" i="23"/>
  <c r="R165" i="23"/>
  <c r="I166" i="23"/>
  <c r="G166" i="23"/>
  <c r="D167" i="23"/>
  <c r="N166" i="23"/>
  <c r="E167" i="23"/>
  <c r="O166" i="23"/>
  <c r="Q166" i="23"/>
  <c r="H167" i="23"/>
  <c r="F167" i="23"/>
  <c r="R166" i="23"/>
  <c r="P166" i="23"/>
  <c r="M167" i="23"/>
  <c r="I167" i="23"/>
  <c r="G167" i="23"/>
  <c r="D168" i="23"/>
  <c r="N167" i="23"/>
  <c r="E168" i="23"/>
  <c r="O167" i="23"/>
  <c r="Q167" i="23"/>
  <c r="F168" i="23"/>
  <c r="H168" i="23"/>
  <c r="P167" i="23"/>
  <c r="M168" i="23"/>
  <c r="R167" i="23"/>
  <c r="I168" i="23"/>
  <c r="G168" i="23"/>
  <c r="D169" i="23"/>
  <c r="E169" i="23"/>
  <c r="N168" i="23"/>
  <c r="F169" i="23"/>
  <c r="H169" i="23"/>
  <c r="O168" i="23"/>
  <c r="Q168" i="23"/>
  <c r="I169" i="23"/>
  <c r="G169" i="23"/>
  <c r="D170" i="23"/>
  <c r="P168" i="23"/>
  <c r="M169" i="23"/>
  <c r="R168" i="23"/>
  <c r="N169" i="23"/>
  <c r="G170" i="23"/>
  <c r="D171" i="23"/>
  <c r="E170" i="23"/>
  <c r="O169" i="23"/>
  <c r="Q169" i="23"/>
  <c r="G171" i="23"/>
  <c r="D172" i="23"/>
  <c r="E171" i="23"/>
  <c r="P169" i="23"/>
  <c r="R169" i="23"/>
  <c r="E172" i="23"/>
  <c r="G172" i="23"/>
  <c r="D173" i="23"/>
  <c r="E173" i="23"/>
  <c r="G173" i="23"/>
  <c r="D174" i="23"/>
  <c r="E174" i="23"/>
  <c r="G174" i="23"/>
  <c r="D175" i="23"/>
  <c r="G175" i="23"/>
  <c r="D176" i="23"/>
  <c r="E175" i="23"/>
  <c r="E176" i="23"/>
  <c r="G176" i="23"/>
  <c r="D177" i="23"/>
  <c r="E177" i="23"/>
  <c r="G177" i="23"/>
  <c r="D178" i="23"/>
  <c r="E178" i="23"/>
  <c r="G178" i="23"/>
  <c r="D179" i="23"/>
  <c r="G179" i="23"/>
  <c r="D180" i="23"/>
  <c r="E179" i="23"/>
  <c r="E180" i="23"/>
  <c r="G180" i="23"/>
  <c r="D181" i="23"/>
  <c r="E181" i="23"/>
  <c r="G181" i="23"/>
  <c r="D182" i="23"/>
  <c r="E182" i="23"/>
  <c r="G182" i="23"/>
  <c r="D183" i="23"/>
  <c r="G183" i="23"/>
  <c r="D184" i="23"/>
  <c r="E183" i="23"/>
  <c r="E184" i="23"/>
  <c r="G184" i="23"/>
  <c r="D185" i="23"/>
  <c r="E185" i="23"/>
  <c r="G185" i="23"/>
  <c r="D186" i="23"/>
  <c r="E186" i="23"/>
  <c r="G186" i="23"/>
  <c r="D187" i="23"/>
  <c r="G187" i="23"/>
  <c r="D188" i="23"/>
  <c r="E187" i="23"/>
  <c r="G188" i="23"/>
  <c r="D189" i="23"/>
  <c r="E188" i="23"/>
  <c r="E189" i="23"/>
  <c r="G189" i="23"/>
  <c r="D190" i="23"/>
  <c r="E190" i="23"/>
  <c r="G190" i="23"/>
  <c r="D191" i="23"/>
  <c r="G191" i="23"/>
  <c r="D192" i="23"/>
  <c r="E191" i="23"/>
  <c r="E192" i="23"/>
  <c r="G192" i="23"/>
  <c r="D193" i="23"/>
  <c r="E193" i="23"/>
  <c r="G193" i="23"/>
  <c r="D194" i="23"/>
  <c r="E194" i="23"/>
  <c r="G194" i="23"/>
  <c r="D195" i="23"/>
  <c r="G195" i="23"/>
  <c r="D196" i="23"/>
  <c r="E195" i="23"/>
  <c r="E196" i="23"/>
  <c r="G196" i="23"/>
  <c r="D197" i="23"/>
  <c r="E197" i="23"/>
  <c r="G197" i="23"/>
  <c r="D198" i="23"/>
  <c r="G198" i="23"/>
  <c r="D199" i="23"/>
  <c r="E198" i="23"/>
  <c r="G199" i="23"/>
  <c r="D200" i="23"/>
  <c r="E199" i="23"/>
  <c r="E200" i="23"/>
  <c r="G200" i="23"/>
  <c r="D201" i="23"/>
  <c r="E201" i="23"/>
  <c r="G201" i="23"/>
  <c r="D202" i="23"/>
  <c r="G202" i="23"/>
  <c r="D203" i="23"/>
  <c r="E202" i="23"/>
  <c r="G203" i="23"/>
  <c r="D204" i="23"/>
  <c r="E203" i="23"/>
  <c r="E204" i="23"/>
  <c r="G204" i="23"/>
  <c r="D205" i="23"/>
  <c r="E205" i="23"/>
  <c r="G205" i="23"/>
  <c r="D206" i="23"/>
  <c r="E206" i="23"/>
  <c r="G206" i="23"/>
  <c r="D207" i="23"/>
  <c r="G207" i="23"/>
  <c r="D208" i="23"/>
  <c r="E207" i="23"/>
  <c r="E208" i="23"/>
  <c r="G208" i="23"/>
  <c r="D209" i="23"/>
  <c r="E209" i="23"/>
  <c r="G209" i="23"/>
  <c r="D210" i="23"/>
  <c r="E210" i="23"/>
  <c r="G210" i="23"/>
  <c r="D211" i="23"/>
  <c r="G211" i="23"/>
  <c r="D212" i="23"/>
  <c r="E211" i="23"/>
  <c r="E212" i="23"/>
  <c r="G212" i="23"/>
  <c r="D213" i="23"/>
  <c r="E213" i="23"/>
  <c r="G213" i="23"/>
  <c r="D214" i="23"/>
  <c r="E214" i="23"/>
  <c r="G214" i="23"/>
  <c r="D215" i="23"/>
  <c r="G215" i="23"/>
  <c r="D216" i="23"/>
  <c r="E215" i="23"/>
  <c r="E216" i="23"/>
  <c r="G216" i="23"/>
  <c r="D217" i="23"/>
  <c r="E217" i="23"/>
  <c r="G217" i="23"/>
  <c r="D218" i="23"/>
  <c r="G218" i="23"/>
  <c r="D219" i="23"/>
  <c r="E218" i="23"/>
  <c r="G219" i="23"/>
  <c r="D220" i="23"/>
  <c r="E219" i="23"/>
  <c r="E220" i="23"/>
  <c r="G220" i="23"/>
  <c r="D221" i="23"/>
  <c r="E221" i="23"/>
  <c r="G221" i="23"/>
  <c r="D222" i="23"/>
  <c r="E222" i="23"/>
  <c r="G222" i="23"/>
  <c r="D223" i="23"/>
  <c r="G223" i="23"/>
  <c r="D224" i="23"/>
  <c r="E223" i="23"/>
  <c r="E224" i="23"/>
  <c r="G224" i="23"/>
  <c r="D225" i="23"/>
  <c r="E225" i="23"/>
  <c r="G225" i="23"/>
  <c r="D226" i="23"/>
  <c r="G226" i="23"/>
  <c r="D227" i="23"/>
  <c r="E226" i="23"/>
  <c r="G227" i="23"/>
  <c r="D228" i="23"/>
  <c r="E227" i="23"/>
  <c r="E228" i="23"/>
  <c r="G228" i="23"/>
  <c r="D229" i="23"/>
  <c r="G229" i="23"/>
  <c r="E229" i="23"/>
  <c r="E218" i="8"/>
  <c r="K128" i="9"/>
  <c r="I53" i="11" s="1"/>
  <c r="Q58" i="9"/>
  <c r="E16" i="9" s="1"/>
  <c r="Q146" i="9"/>
  <c r="F38" i="9" s="1"/>
  <c r="D268" i="8"/>
  <c r="Q84" i="9"/>
  <c r="F22" i="9" s="1"/>
  <c r="H105" i="9"/>
  <c r="F120" i="11" s="1"/>
  <c r="F124" i="11" s="1"/>
  <c r="E149" i="9"/>
  <c r="C89" i="11" s="1"/>
  <c r="Q64" i="9"/>
  <c r="E22" i="9" s="1"/>
  <c r="K184" i="8"/>
  <c r="K190" i="8" s="1"/>
  <c r="O105" i="8"/>
  <c r="O112" i="8" s="1"/>
  <c r="M30" i="25"/>
  <c r="M49" i="25" s="1"/>
  <c r="Q138" i="8"/>
  <c r="E140" i="8"/>
  <c r="H60" i="8"/>
  <c r="H63" i="8"/>
  <c r="R58" i="8"/>
  <c r="G60" i="8"/>
  <c r="G63" i="8"/>
  <c r="E24" i="6"/>
  <c r="E25" i="6"/>
  <c r="K201" i="8"/>
  <c r="K203" i="8" s="1"/>
  <c r="I149" i="9"/>
  <c r="O107" i="8"/>
  <c r="G107" i="8"/>
  <c r="G112" i="8"/>
  <c r="R57" i="8"/>
  <c r="D44" i="8"/>
  <c r="E60" i="8"/>
  <c r="M112" i="8"/>
  <c r="M107" i="8"/>
  <c r="F123" i="8"/>
  <c r="D57" i="11" s="1"/>
  <c r="N149" i="9"/>
  <c r="L89" i="11" s="1"/>
  <c r="Q199" i="8"/>
  <c r="G201" i="8"/>
  <c r="F93" i="11" s="1"/>
  <c r="F30" i="25"/>
  <c r="F49" i="25" s="1"/>
  <c r="Q80" i="9"/>
  <c r="F18" i="9" s="1"/>
  <c r="D279" i="8"/>
  <c r="C129" i="11" s="1"/>
  <c r="F201" i="8"/>
  <c r="E93" i="11" s="1"/>
  <c r="E105" i="9"/>
  <c r="C120" i="11" s="1"/>
  <c r="P49" i="11"/>
  <c r="D12" i="11" s="1"/>
  <c r="H128" i="9"/>
  <c r="F53" i="11" s="1"/>
  <c r="K30" i="25"/>
  <c r="K49" i="25" s="1"/>
  <c r="J105" i="9"/>
  <c r="H120" i="11" s="1"/>
  <c r="E65" i="9"/>
  <c r="C48" i="11" s="1"/>
  <c r="C52" i="11" s="1"/>
  <c r="I30" i="25"/>
  <c r="I49" i="25" s="1"/>
  <c r="G140" i="11"/>
  <c r="G89" i="11"/>
  <c r="M85" i="9"/>
  <c r="K84" i="11" s="1"/>
  <c r="E221" i="8"/>
  <c r="E143" i="8"/>
  <c r="G203" i="8"/>
  <c r="E63" i="8"/>
  <c r="F203" i="8"/>
  <c r="E268" i="8"/>
  <c r="E107" i="8"/>
  <c r="E112" i="8"/>
  <c r="L279" i="8" l="1"/>
  <c r="D201" i="8"/>
  <c r="H123" i="8"/>
  <c r="H125" i="8" s="1"/>
  <c r="G123" i="8"/>
  <c r="Q169" i="9"/>
  <c r="G40" i="9" s="1"/>
  <c r="O65" i="9"/>
  <c r="M48" i="11" s="1"/>
  <c r="H268" i="8"/>
  <c r="J65" i="9"/>
  <c r="H48" i="11" s="1"/>
  <c r="L112" i="8"/>
  <c r="Q239" i="8"/>
  <c r="F105" i="9"/>
  <c r="D120" i="11" s="1"/>
  <c r="R120" i="8"/>
  <c r="H52" i="11"/>
  <c r="I52" i="11"/>
  <c r="Q144" i="9"/>
  <c r="F36" i="9" s="1"/>
  <c r="O149" i="9"/>
  <c r="Q104" i="9"/>
  <c r="G22" i="9" s="1"/>
  <c r="N89" i="11"/>
  <c r="Q147" i="9"/>
  <c r="F39" i="9" s="1"/>
  <c r="Q145" i="9"/>
  <c r="F37" i="9" s="1"/>
  <c r="R119" i="8"/>
  <c r="K170" i="9"/>
  <c r="I125" i="11" s="1"/>
  <c r="P105" i="9"/>
  <c r="N120" i="11" s="1"/>
  <c r="N124" i="11" s="1"/>
  <c r="M52" i="11"/>
  <c r="Q101" i="9"/>
  <c r="G19" i="9" s="1"/>
  <c r="H30" i="25"/>
  <c r="H49" i="25" s="1"/>
  <c r="H65" i="9"/>
  <c r="F48" i="11" s="1"/>
  <c r="F52" i="11" s="1"/>
  <c r="M149" i="9"/>
  <c r="K89" i="11" s="1"/>
  <c r="Q125" i="9"/>
  <c r="E38" i="9" s="1"/>
  <c r="Q274" i="8"/>
  <c r="Q196" i="8"/>
  <c r="O26" i="25"/>
  <c r="P121" i="11"/>
  <c r="F12" i="11" s="1"/>
  <c r="R118" i="8"/>
  <c r="P98" i="11"/>
  <c r="E25" i="11" s="1"/>
  <c r="Q198" i="8"/>
  <c r="Q123" i="9"/>
  <c r="E36" i="9" s="1"/>
  <c r="I170" i="9"/>
  <c r="G125" i="11" s="1"/>
  <c r="Q99" i="9"/>
  <c r="G17" i="9" s="1"/>
  <c r="M128" i="9"/>
  <c r="K53" i="11" s="1"/>
  <c r="M170" i="9"/>
  <c r="K125" i="11" s="1"/>
  <c r="K104" i="11"/>
  <c r="L184" i="8"/>
  <c r="M184" i="8"/>
  <c r="M190" i="8" s="1"/>
  <c r="L104" i="11"/>
  <c r="L203" i="8"/>
  <c r="K93" i="11"/>
  <c r="D203" i="8"/>
  <c r="C93" i="11"/>
  <c r="K112" i="8"/>
  <c r="K107" i="8"/>
  <c r="F125" i="8"/>
  <c r="C124" i="11"/>
  <c r="K279" i="8"/>
  <c r="D30" i="25"/>
  <c r="D49" i="25" s="1"/>
  <c r="L65" i="9"/>
  <c r="J48" i="11" s="1"/>
  <c r="Q163" i="9"/>
  <c r="G34" i="9" s="1"/>
  <c r="H170" i="9"/>
  <c r="F125" i="11" s="1"/>
  <c r="E279" i="8"/>
  <c r="D129" i="11" s="1"/>
  <c r="P85" i="9"/>
  <c r="N84" i="11" s="1"/>
  <c r="P65" i="9"/>
  <c r="N48" i="11" s="1"/>
  <c r="G149" i="9"/>
  <c r="F149" i="9"/>
  <c r="D89" i="11" s="1"/>
  <c r="I68" i="11"/>
  <c r="I201" i="8"/>
  <c r="H93" i="11" s="1"/>
  <c r="E67" i="9"/>
  <c r="M89" i="11"/>
  <c r="J128" i="9"/>
  <c r="H53" i="11" s="1"/>
  <c r="Q168" i="9"/>
  <c r="G39" i="9" s="1"/>
  <c r="Q160" i="8"/>
  <c r="D281" i="8"/>
  <c r="D283" i="8" s="1"/>
  <c r="L30" i="25"/>
  <c r="L49" i="25" s="1"/>
  <c r="E281" i="8"/>
  <c r="E283" i="8" s="1"/>
  <c r="K205" i="8"/>
  <c r="N129" i="11"/>
  <c r="J93" i="11"/>
  <c r="I279" i="8"/>
  <c r="G30" i="25"/>
  <c r="G49" i="25" s="1"/>
  <c r="H107" i="8"/>
  <c r="H112" i="8"/>
  <c r="H127" i="8" s="1"/>
  <c r="F184" i="8"/>
  <c r="E104" i="11"/>
  <c r="M203" i="8"/>
  <c r="L93" i="11"/>
  <c r="N93" i="11"/>
  <c r="P97" i="11"/>
  <c r="E24" i="11" s="1"/>
  <c r="P96" i="11"/>
  <c r="E23" i="11" s="1"/>
  <c r="P123" i="8"/>
  <c r="P125" i="8" s="1"/>
  <c r="J30" i="25"/>
  <c r="J49" i="25" s="1"/>
  <c r="N201" i="8"/>
  <c r="N203" i="8" s="1"/>
  <c r="E89" i="11"/>
  <c r="L170" i="9"/>
  <c r="J125" i="11" s="1"/>
  <c r="P133" i="11"/>
  <c r="F24" i="11" s="1"/>
  <c r="P132" i="11"/>
  <c r="F23" i="11" s="1"/>
  <c r="F279" i="8"/>
  <c r="O123" i="8"/>
  <c r="M57" i="11" s="1"/>
  <c r="G279" i="8"/>
  <c r="F129" i="11" s="1"/>
  <c r="Q81" i="9"/>
  <c r="F19" i="9" s="1"/>
  <c r="N105" i="9"/>
  <c r="L120" i="11" s="1"/>
  <c r="L124" i="11" s="1"/>
  <c r="C125" i="11"/>
  <c r="Q77" i="9"/>
  <c r="F15" i="9" s="1"/>
  <c r="I128" i="9"/>
  <c r="G53" i="11" s="1"/>
  <c r="N170" i="9"/>
  <c r="L125" i="11" s="1"/>
  <c r="K106" i="11"/>
  <c r="H279" i="8"/>
  <c r="H281" i="8" s="1"/>
  <c r="H283" i="8" s="1"/>
  <c r="J279" i="8"/>
  <c r="P134" i="11"/>
  <c r="F25" i="11" s="1"/>
  <c r="M53" i="11"/>
  <c r="H149" i="9"/>
  <c r="F89" i="11" s="1"/>
  <c r="N123" i="8"/>
  <c r="J123" i="8"/>
  <c r="J125" i="8" s="1"/>
  <c r="P61" i="11"/>
  <c r="D24" i="11" s="1"/>
  <c r="P170" i="9"/>
  <c r="N125" i="11" s="1"/>
  <c r="N105" i="8"/>
  <c r="Q171" i="9"/>
  <c r="G42" i="9" s="1"/>
  <c r="E201" i="8"/>
  <c r="D93" i="11" s="1"/>
  <c r="I85" i="9"/>
  <c r="G84" i="11" s="1"/>
  <c r="G88" i="11" s="1"/>
  <c r="M105" i="9"/>
  <c r="K120" i="11" s="1"/>
  <c r="K124" i="11" s="1"/>
  <c r="K105" i="9"/>
  <c r="I120" i="11" s="1"/>
  <c r="I124" i="11" s="1"/>
  <c r="M125" i="11"/>
  <c r="L105" i="9"/>
  <c r="J120" i="11" s="1"/>
  <c r="J124" i="11" s="1"/>
  <c r="Q59" i="9"/>
  <c r="E17" i="9" s="1"/>
  <c r="Q63" i="9"/>
  <c r="E21" i="9" s="1"/>
  <c r="E128" i="9"/>
  <c r="E131" i="9" s="1"/>
  <c r="Q148" i="9"/>
  <c r="F40" i="9" s="1"/>
  <c r="Q122" i="9"/>
  <c r="E35" i="9" s="1"/>
  <c r="M123" i="8"/>
  <c r="K57" i="11" s="1"/>
  <c r="O105" i="9"/>
  <c r="M120" i="11" s="1"/>
  <c r="M124" i="11" s="1"/>
  <c r="J89" i="11"/>
  <c r="J106" i="11" s="1"/>
  <c r="Q150" i="9"/>
  <c r="F42" i="9" s="1"/>
  <c r="I89" i="11"/>
  <c r="G128" i="9"/>
  <c r="E53" i="11" s="1"/>
  <c r="Q127" i="9"/>
  <c r="E40" i="9" s="1"/>
  <c r="J170" i="9"/>
  <c r="H125" i="11" s="1"/>
  <c r="Q143" i="9"/>
  <c r="F35" i="9" s="1"/>
  <c r="N128" i="9"/>
  <c r="L53" i="11" s="1"/>
  <c r="N65" i="9"/>
  <c r="L48" i="11" s="1"/>
  <c r="L52" i="11" s="1"/>
  <c r="O184" i="8"/>
  <c r="O190" i="8" s="1"/>
  <c r="O205" i="8" s="1"/>
  <c r="M205" i="8"/>
  <c r="N279" i="8"/>
  <c r="N281" i="8" s="1"/>
  <c r="M279" i="8"/>
  <c r="L129" i="11" s="1"/>
  <c r="N88" i="11"/>
  <c r="Q121" i="9"/>
  <c r="E34" i="9" s="1"/>
  <c r="N52" i="11"/>
  <c r="Q62" i="9"/>
  <c r="E20" i="9" s="1"/>
  <c r="G52" i="11"/>
  <c r="Q60" i="9"/>
  <c r="E18" i="9" s="1"/>
  <c r="Q164" i="9"/>
  <c r="Q83" i="9"/>
  <c r="F21" i="9" s="1"/>
  <c r="L85" i="9"/>
  <c r="J84" i="11" s="1"/>
  <c r="J88" i="11" s="1"/>
  <c r="G105" i="9"/>
  <c r="E120" i="11" s="1"/>
  <c r="E124" i="11" s="1"/>
  <c r="Q82" i="9"/>
  <c r="F20" i="9" s="1"/>
  <c r="G85" i="9"/>
  <c r="E84" i="11" s="1"/>
  <c r="E88" i="11" s="1"/>
  <c r="G170" i="9"/>
  <c r="E125" i="11" s="1"/>
  <c r="I105" i="9"/>
  <c r="G120" i="11" s="1"/>
  <c r="G124" i="11" s="1"/>
  <c r="P128" i="9"/>
  <c r="N53" i="11" s="1"/>
  <c r="M65" i="9"/>
  <c r="K48" i="11" s="1"/>
  <c r="K52" i="11" s="1"/>
  <c r="H85" i="9"/>
  <c r="F84" i="11" s="1"/>
  <c r="G65" i="9"/>
  <c r="E48" i="11" s="1"/>
  <c r="E52" i="11" s="1"/>
  <c r="O85" i="9"/>
  <c r="M84" i="11" s="1"/>
  <c r="M88" i="11" s="1"/>
  <c r="N85" i="9"/>
  <c r="L84" i="11" s="1"/>
  <c r="L88" i="11" s="1"/>
  <c r="K129" i="11"/>
  <c r="K142" i="11" s="1"/>
  <c r="K143" i="11" s="1"/>
  <c r="L281" i="8"/>
  <c r="L283" i="8" s="1"/>
  <c r="K281" i="8"/>
  <c r="J129" i="11"/>
  <c r="E129" i="11"/>
  <c r="F281" i="8"/>
  <c r="F104" i="11"/>
  <c r="G184" i="8"/>
  <c r="G190" i="8" s="1"/>
  <c r="G205" i="8" s="1"/>
  <c r="H129" i="11"/>
  <c r="I281" i="8"/>
  <c r="I283" i="8" s="1"/>
  <c r="J281" i="8"/>
  <c r="I129" i="11"/>
  <c r="L57" i="11"/>
  <c r="N125" i="8"/>
  <c r="Q161" i="8"/>
  <c r="C104" i="11"/>
  <c r="D184" i="8"/>
  <c r="E203" i="8"/>
  <c r="E57" i="11"/>
  <c r="G125" i="8"/>
  <c r="G127" i="8" s="1"/>
  <c r="E123" i="8"/>
  <c r="M104" i="11"/>
  <c r="N184" i="8"/>
  <c r="D124" i="11"/>
  <c r="H104" i="11"/>
  <c r="I184" i="8"/>
  <c r="N57" i="11"/>
  <c r="G35" i="9"/>
  <c r="Q79" i="9"/>
  <c r="F17" i="9" s="1"/>
  <c r="Q166" i="9"/>
  <c r="G37" i="9" s="1"/>
  <c r="Q124" i="9"/>
  <c r="E37" i="9" s="1"/>
  <c r="F65" i="9"/>
  <c r="Q61" i="9"/>
  <c r="E19" i="9" s="1"/>
  <c r="Q142" i="9"/>
  <c r="J53" i="11"/>
  <c r="E85" i="9"/>
  <c r="C84" i="11" s="1"/>
  <c r="N68" i="11"/>
  <c r="P68" i="11" s="1"/>
  <c r="D31" i="11" s="1"/>
  <c r="F57" i="11"/>
  <c r="Q165" i="9"/>
  <c r="G36" i="9" s="1"/>
  <c r="Q275" i="8"/>
  <c r="J149" i="9"/>
  <c r="H89" i="11" s="1"/>
  <c r="Q100" i="9"/>
  <c r="G18" i="9" s="1"/>
  <c r="Q126" i="9"/>
  <c r="E39" i="9" s="1"/>
  <c r="F128" i="9"/>
  <c r="F170" i="9"/>
  <c r="D125" i="11" s="1"/>
  <c r="K85" i="9"/>
  <c r="I84" i="11" s="1"/>
  <c r="I88" i="11" s="1"/>
  <c r="C30" i="25"/>
  <c r="C49" i="25" s="1"/>
  <c r="C57" i="25" s="1"/>
  <c r="F105" i="8"/>
  <c r="Q277" i="8"/>
  <c r="Q98" i="9"/>
  <c r="H88" i="11"/>
  <c r="Q78" i="9"/>
  <c r="F16" i="9" s="1"/>
  <c r="Q167" i="9"/>
  <c r="G38" i="9" s="1"/>
  <c r="Q276" i="8"/>
  <c r="Q57" i="9"/>
  <c r="J105" i="8"/>
  <c r="O28" i="25"/>
  <c r="R81" i="8"/>
  <c r="L121" i="8"/>
  <c r="L123" i="8" s="1"/>
  <c r="I121" i="8"/>
  <c r="I123" i="8" s="1"/>
  <c r="E184" i="8"/>
  <c r="E190" i="8" s="1"/>
  <c r="L107" i="8"/>
  <c r="Q103" i="9"/>
  <c r="G21" i="9" s="1"/>
  <c r="F85" i="9"/>
  <c r="D84" i="11" s="1"/>
  <c r="K123" i="8"/>
  <c r="AJ79" i="23"/>
  <c r="X79" i="23" s="1"/>
  <c r="M15" i="23" s="1"/>
  <c r="W79" i="23"/>
  <c r="L15" i="23" s="1"/>
  <c r="G123" i="52"/>
  <c r="C53" i="36"/>
  <c r="C44" i="36"/>
  <c r="K86" i="11" s="1"/>
  <c r="K88" i="11" s="1"/>
  <c r="D53" i="23"/>
  <c r="J197" i="8" s="1"/>
  <c r="J201" i="8" s="1"/>
  <c r="D51" i="23"/>
  <c r="H197" i="8" s="1"/>
  <c r="C39" i="36"/>
  <c r="C48" i="23"/>
  <c r="U44" i="23"/>
  <c r="C31" i="36"/>
  <c r="J50" i="11" s="1"/>
  <c r="J52" i="11" s="1"/>
  <c r="M268" i="8"/>
  <c r="J190" i="8"/>
  <c r="J230" i="8"/>
  <c r="E63" i="6"/>
  <c r="E64" i="6"/>
  <c r="E26" i="36"/>
  <c r="F218" i="8"/>
  <c r="L140" i="8"/>
  <c r="L143" i="8" s="1"/>
  <c r="L190" i="8" s="1"/>
  <c r="L205" i="8" s="1"/>
  <c r="C25" i="36"/>
  <c r="I63" i="8"/>
  <c r="O194" i="6"/>
  <c r="I64" i="11"/>
  <c r="C64" i="11"/>
  <c r="L64" i="11"/>
  <c r="K64" i="11"/>
  <c r="E64" i="11"/>
  <c r="P60" i="8"/>
  <c r="P63" i="8" s="1"/>
  <c r="J60" i="8"/>
  <c r="J63" i="8" s="1"/>
  <c r="G64" i="11"/>
  <c r="F184" i="6"/>
  <c r="M64" i="11"/>
  <c r="N184" i="6"/>
  <c r="G86" i="52"/>
  <c r="E62" i="11" s="1"/>
  <c r="P62" i="11" s="1"/>
  <c r="D25" i="11" s="1"/>
  <c r="F64" i="11"/>
  <c r="I184" i="6"/>
  <c r="F221" i="8"/>
  <c r="U38" i="23"/>
  <c r="H64" i="11"/>
  <c r="E126" i="6"/>
  <c r="K218" i="8"/>
  <c r="K221" i="8" s="1"/>
  <c r="J64" i="11"/>
  <c r="N64" i="11"/>
  <c r="N218" i="8"/>
  <c r="N221" i="8" s="1"/>
  <c r="O199" i="6"/>
  <c r="P199" i="6" s="1"/>
  <c r="P258" i="6" s="1"/>
  <c r="F63" i="24"/>
  <c r="O63" i="11" s="1"/>
  <c r="O47" i="25"/>
  <c r="P262" i="8"/>
  <c r="O232" i="6"/>
  <c r="N239" i="8"/>
  <c r="K244" i="8"/>
  <c r="G239" i="8"/>
  <c r="F239" i="8"/>
  <c r="H57" i="11" l="1"/>
  <c r="I203" i="8"/>
  <c r="O125" i="8"/>
  <c r="O127" i="8" s="1"/>
  <c r="J107" i="11"/>
  <c r="P104" i="11"/>
  <c r="E31" i="11" s="1"/>
  <c r="D106" i="11"/>
  <c r="M281" i="8"/>
  <c r="M283" i="8" s="1"/>
  <c r="M125" i="8"/>
  <c r="M127" i="8" s="1"/>
  <c r="E205" i="8"/>
  <c r="G129" i="11"/>
  <c r="G142" i="11" s="1"/>
  <c r="G143" i="11" s="1"/>
  <c r="D142" i="11"/>
  <c r="D143" i="11" s="1"/>
  <c r="C53" i="11"/>
  <c r="Q128" i="9"/>
  <c r="E41" i="9" s="1"/>
  <c r="K107" i="11"/>
  <c r="M93" i="11"/>
  <c r="M129" i="11"/>
  <c r="G281" i="8"/>
  <c r="P89" i="11"/>
  <c r="E16" i="11" s="1"/>
  <c r="N112" i="8"/>
  <c r="N127" i="8" s="1"/>
  <c r="N107" i="8"/>
  <c r="P120" i="11"/>
  <c r="F11" i="11" s="1"/>
  <c r="F34" i="9"/>
  <c r="Q149" i="9"/>
  <c r="F41" i="9" s="1"/>
  <c r="Q85" i="9"/>
  <c r="F23" i="9" s="1"/>
  <c r="P125" i="11"/>
  <c r="F16" i="11" s="1"/>
  <c r="Q65" i="9"/>
  <c r="E23" i="9" s="1"/>
  <c r="E15" i="9"/>
  <c r="R105" i="8"/>
  <c r="D20" i="8" s="1"/>
  <c r="Q279" i="8"/>
  <c r="F27" i="8" s="1"/>
  <c r="I84" i="10" s="1"/>
  <c r="D48" i="11"/>
  <c r="P48" i="11" s="1"/>
  <c r="D11" i="11" s="1"/>
  <c r="F67" i="9"/>
  <c r="G67" i="9" s="1"/>
  <c r="H67" i="9" s="1"/>
  <c r="I67" i="9" s="1"/>
  <c r="J67" i="9" s="1"/>
  <c r="K67" i="9" s="1"/>
  <c r="L67" i="9" s="1"/>
  <c r="M67" i="9" s="1"/>
  <c r="N67" i="9" s="1"/>
  <c r="O67" i="9" s="1"/>
  <c r="P67" i="9" s="1"/>
  <c r="I125" i="8"/>
  <c r="G57" i="11"/>
  <c r="G70" i="11" s="1"/>
  <c r="G71" i="11" s="1"/>
  <c r="R121" i="8"/>
  <c r="J57" i="11"/>
  <c r="J70" i="11" s="1"/>
  <c r="J71" i="11" s="1"/>
  <c r="L125" i="8"/>
  <c r="L127" i="8" s="1"/>
  <c r="R123" i="8"/>
  <c r="D27" i="8" s="1"/>
  <c r="E84" i="10" s="1"/>
  <c r="E125" i="8"/>
  <c r="C57" i="11"/>
  <c r="K125" i="8"/>
  <c r="K127" i="8" s="1"/>
  <c r="I57" i="11"/>
  <c r="F131" i="9"/>
  <c r="G131" i="9" s="1"/>
  <c r="H131" i="9" s="1"/>
  <c r="I131" i="9" s="1"/>
  <c r="J131" i="9" s="1"/>
  <c r="K131" i="9" s="1"/>
  <c r="L131" i="9" s="1"/>
  <c r="M131" i="9" s="1"/>
  <c r="N131" i="9" s="1"/>
  <c r="O131" i="9" s="1"/>
  <c r="P131" i="9" s="1"/>
  <c r="E43" i="9" s="1"/>
  <c r="E46" i="9" s="1"/>
  <c r="E59" i="10" s="1"/>
  <c r="D53" i="11"/>
  <c r="P84" i="11"/>
  <c r="E11" i="11" s="1"/>
  <c r="C88" i="11"/>
  <c r="Q184" i="8"/>
  <c r="E20" i="8" s="1"/>
  <c r="D190" i="8"/>
  <c r="D205" i="8" s="1"/>
  <c r="Q105" i="9"/>
  <c r="G23" i="9" s="1"/>
  <c r="G16" i="9"/>
  <c r="Q170" i="9"/>
  <c r="G41" i="9" s="1"/>
  <c r="F262" i="8"/>
  <c r="F268" i="8" s="1"/>
  <c r="E140" i="11"/>
  <c r="F140" i="11"/>
  <c r="G262" i="8"/>
  <c r="G268" i="8" s="1"/>
  <c r="J130" i="11"/>
  <c r="K246" i="8"/>
  <c r="K262" i="8" s="1"/>
  <c r="K268" i="8" s="1"/>
  <c r="K283" i="8" s="1"/>
  <c r="M140" i="11"/>
  <c r="N262" i="8"/>
  <c r="N268" i="8" s="1"/>
  <c r="N283" i="8" s="1"/>
  <c r="O234" i="6"/>
  <c r="N126" i="11"/>
  <c r="P232" i="6"/>
  <c r="J23" i="6" s="1"/>
  <c r="O64" i="11"/>
  <c r="O70" i="11" s="1"/>
  <c r="O71" i="11" s="1"/>
  <c r="P63" i="11"/>
  <c r="D26" i="11" s="1"/>
  <c r="N70" i="11"/>
  <c r="N71" i="11" s="1"/>
  <c r="D55" i="11"/>
  <c r="E128" i="6"/>
  <c r="P126" i="6"/>
  <c r="E34" i="6" s="1"/>
  <c r="H70" i="11"/>
  <c r="H71" i="11" s="1"/>
  <c r="I186" i="6"/>
  <c r="H91" i="11"/>
  <c r="M91" i="11"/>
  <c r="N186" i="6"/>
  <c r="M70" i="11"/>
  <c r="M71" i="11" s="1"/>
  <c r="E91" i="11"/>
  <c r="F186" i="6"/>
  <c r="P184" i="6"/>
  <c r="H34" i="6" s="1"/>
  <c r="J107" i="8"/>
  <c r="J112" i="8"/>
  <c r="J127" i="8" s="1"/>
  <c r="P112" i="8"/>
  <c r="P127" i="8" s="1"/>
  <c r="P107" i="8"/>
  <c r="K70" i="11"/>
  <c r="K71" i="11" s="1"/>
  <c r="C76" i="11"/>
  <c r="P194" i="6"/>
  <c r="O201" i="6"/>
  <c r="I112" i="8"/>
  <c r="I107" i="8"/>
  <c r="D50" i="11"/>
  <c r="D13" i="36"/>
  <c r="E27" i="25"/>
  <c r="F13" i="36"/>
  <c r="E60" i="11"/>
  <c r="G64" i="6"/>
  <c r="G63" i="6"/>
  <c r="E70" i="6"/>
  <c r="F63" i="6"/>
  <c r="I128" i="11"/>
  <c r="J268" i="8"/>
  <c r="J283" i="8" s="1"/>
  <c r="D85" i="11"/>
  <c r="D13" i="23"/>
  <c r="F86" i="11"/>
  <c r="D14" i="36"/>
  <c r="H201" i="8"/>
  <c r="Q197" i="8"/>
  <c r="I93" i="11"/>
  <c r="J203" i="8"/>
  <c r="J205" i="8" s="1"/>
  <c r="H122" i="11"/>
  <c r="D15" i="36"/>
  <c r="Q281" i="8" l="1"/>
  <c r="F29" i="8" s="1"/>
  <c r="P129" i="11"/>
  <c r="F20" i="11" s="1"/>
  <c r="C70" i="11"/>
  <c r="C71" i="11" s="1"/>
  <c r="C72" i="11" s="1"/>
  <c r="D46" i="11" s="1"/>
  <c r="G283" i="8"/>
  <c r="I127" i="8"/>
  <c r="P53" i="11"/>
  <c r="D16" i="11" s="1"/>
  <c r="M142" i="11"/>
  <c r="M143" i="11" s="1"/>
  <c r="E30" i="25"/>
  <c r="O30" i="25" s="1"/>
  <c r="O27" i="25"/>
  <c r="P57" i="11"/>
  <c r="D20" i="11" s="1"/>
  <c r="E25" i="9"/>
  <c r="E87" i="9"/>
  <c r="F87" i="9" s="1"/>
  <c r="G87" i="9" s="1"/>
  <c r="H87" i="9" s="1"/>
  <c r="I87" i="9" s="1"/>
  <c r="J87" i="9" s="1"/>
  <c r="K87" i="9" s="1"/>
  <c r="L87" i="9" s="1"/>
  <c r="M87" i="9" s="1"/>
  <c r="N87" i="9" s="1"/>
  <c r="O87" i="9" s="1"/>
  <c r="P87" i="9" s="1"/>
  <c r="E152" i="9"/>
  <c r="F152" i="9" s="1"/>
  <c r="G152" i="9" s="1"/>
  <c r="H152" i="9" s="1"/>
  <c r="I152" i="9" s="1"/>
  <c r="J152" i="9" s="1"/>
  <c r="K152" i="9" s="1"/>
  <c r="L152" i="9" s="1"/>
  <c r="M152" i="9" s="1"/>
  <c r="N152" i="9" s="1"/>
  <c r="O152" i="9" s="1"/>
  <c r="P152" i="9" s="1"/>
  <c r="E173" i="9" s="1"/>
  <c r="F173" i="9" s="1"/>
  <c r="G173" i="9" s="1"/>
  <c r="H173" i="9" s="1"/>
  <c r="I173" i="9" s="1"/>
  <c r="J173" i="9" s="1"/>
  <c r="K173" i="9" s="1"/>
  <c r="L173" i="9" s="1"/>
  <c r="M173" i="9" s="1"/>
  <c r="N173" i="9" s="1"/>
  <c r="O173" i="9" s="1"/>
  <c r="P173" i="9" s="1"/>
  <c r="G43" i="9" s="1"/>
  <c r="G46" i="9" s="1"/>
  <c r="I59" i="10" s="1"/>
  <c r="R125" i="8"/>
  <c r="D29" i="8" s="1"/>
  <c r="E127" i="8"/>
  <c r="E111" i="10"/>
  <c r="E113" i="10"/>
  <c r="P122" i="11"/>
  <c r="H124" i="11"/>
  <c r="G93" i="11"/>
  <c r="Q201" i="8"/>
  <c r="E27" i="8" s="1"/>
  <c r="H203" i="8"/>
  <c r="P86" i="11"/>
  <c r="E13" i="11" s="1"/>
  <c r="F88" i="11"/>
  <c r="G45" i="10"/>
  <c r="I45" i="10"/>
  <c r="D88" i="11"/>
  <c r="D107" i="11" s="1"/>
  <c r="P85" i="11"/>
  <c r="P128" i="11"/>
  <c r="F19" i="11" s="1"/>
  <c r="F62" i="6"/>
  <c r="F68" i="6"/>
  <c r="F61" i="6"/>
  <c r="F66" i="6"/>
  <c r="F60" i="6"/>
  <c r="F65" i="6"/>
  <c r="F69" i="6"/>
  <c r="F67" i="6"/>
  <c r="F64" i="6"/>
  <c r="G70" i="6"/>
  <c r="H63" i="6"/>
  <c r="H64" i="6"/>
  <c r="P60" i="11"/>
  <c r="D23" i="11" s="1"/>
  <c r="E70" i="11"/>
  <c r="E71" i="11" s="1"/>
  <c r="E54" i="10"/>
  <c r="G54" i="10"/>
  <c r="I54" i="10"/>
  <c r="P50" i="11"/>
  <c r="D52" i="11"/>
  <c r="P253" i="6"/>
  <c r="P260" i="6" s="1"/>
  <c r="P201" i="6"/>
  <c r="F139" i="8"/>
  <c r="F188" i="6"/>
  <c r="P186" i="6"/>
  <c r="P91" i="11"/>
  <c r="E100" i="11"/>
  <c r="E106" i="11" s="1"/>
  <c r="E107" i="11" s="1"/>
  <c r="N139" i="8"/>
  <c r="N140" i="8" s="1"/>
  <c r="N143" i="8" s="1"/>
  <c r="N190" i="8" s="1"/>
  <c r="N205" i="8" s="1"/>
  <c r="N188" i="6"/>
  <c r="M100" i="11"/>
  <c r="M106" i="11" s="1"/>
  <c r="M107" i="11" s="1"/>
  <c r="H100" i="11"/>
  <c r="I139" i="8"/>
  <c r="I140" i="8" s="1"/>
  <c r="I143" i="8" s="1"/>
  <c r="I190" i="8" s="1"/>
  <c r="I205" i="8" s="1"/>
  <c r="I188" i="6"/>
  <c r="F283" i="8"/>
  <c r="F59" i="8"/>
  <c r="E130" i="6"/>
  <c r="P128" i="6"/>
  <c r="P55" i="11"/>
  <c r="D64" i="11"/>
  <c r="P126" i="11"/>
  <c r="N136" i="11"/>
  <c r="O216" i="8"/>
  <c r="O246" i="6"/>
  <c r="P234" i="6"/>
  <c r="P130" i="11"/>
  <c r="F21" i="11" s="1"/>
  <c r="J136" i="11"/>
  <c r="J142" i="11" s="1"/>
  <c r="J143" i="11" s="1"/>
  <c r="P140" i="11"/>
  <c r="F31" i="11" s="1"/>
  <c r="E142" i="11"/>
  <c r="E143" i="11" s="1"/>
  <c r="Q262" i="8"/>
  <c r="F20" i="8" s="1"/>
  <c r="E49" i="25" l="1"/>
  <c r="O49" i="25" s="1"/>
  <c r="F43" i="9"/>
  <c r="F46" i="9" s="1"/>
  <c r="G59" i="10" s="1"/>
  <c r="F25" i="9"/>
  <c r="E107" i="9"/>
  <c r="F107" i="9" s="1"/>
  <c r="G107" i="9" s="1"/>
  <c r="H107" i="9" s="1"/>
  <c r="I107" i="9" s="1"/>
  <c r="J107" i="9" s="1"/>
  <c r="K107" i="9" s="1"/>
  <c r="L107" i="9" s="1"/>
  <c r="M107" i="9" s="1"/>
  <c r="N107" i="9" s="1"/>
  <c r="O107" i="9" s="1"/>
  <c r="P107" i="9" s="1"/>
  <c r="G25" i="9" s="1"/>
  <c r="D18" i="16"/>
  <c r="E24" i="10"/>
  <c r="I111" i="10"/>
  <c r="P136" i="11"/>
  <c r="F27" i="11" s="1"/>
  <c r="P246" i="6"/>
  <c r="K38" i="6" s="1"/>
  <c r="J25" i="6"/>
  <c r="O218" i="8"/>
  <c r="Q216" i="8"/>
  <c r="F45" i="8" s="1"/>
  <c r="F17" i="11"/>
  <c r="D76" i="11"/>
  <c r="E76" i="11" s="1"/>
  <c r="P64" i="11"/>
  <c r="D27" i="11" s="1"/>
  <c r="D70" i="11"/>
  <c r="D71" i="11" s="1"/>
  <c r="D72" i="11" s="1"/>
  <c r="E46" i="11" s="1"/>
  <c r="E72" i="11" s="1"/>
  <c r="F46" i="11" s="1"/>
  <c r="D18" i="11"/>
  <c r="P130" i="6"/>
  <c r="E38" i="6" s="1"/>
  <c r="E36" i="6"/>
  <c r="F60" i="8"/>
  <c r="R59" i="8"/>
  <c r="D45" i="8" s="1"/>
  <c r="D46" i="8" s="1"/>
  <c r="J39" i="84"/>
  <c r="L39" i="84" s="1"/>
  <c r="J41" i="84"/>
  <c r="J40" i="84"/>
  <c r="P100" i="11"/>
  <c r="E27" i="11" s="1"/>
  <c r="E18" i="11"/>
  <c r="H36" i="6"/>
  <c r="P188" i="6"/>
  <c r="H38" i="6" s="1"/>
  <c r="F140" i="8"/>
  <c r="Q139" i="8"/>
  <c r="E45" i="8" s="1"/>
  <c r="P134" i="8"/>
  <c r="G22" i="10"/>
  <c r="I22" i="10"/>
  <c r="P212" i="8"/>
  <c r="D13" i="11"/>
  <c r="P52" i="11"/>
  <c r="H60" i="6"/>
  <c r="H68" i="6"/>
  <c r="H65" i="6"/>
  <c r="H69" i="6"/>
  <c r="H66" i="6"/>
  <c r="H62" i="6"/>
  <c r="H67" i="6"/>
  <c r="H61" i="6"/>
  <c r="F70" i="6"/>
  <c r="E12" i="11"/>
  <c r="P88" i="11"/>
  <c r="I51" i="10"/>
  <c r="G51" i="10"/>
  <c r="H205" i="8"/>
  <c r="Q203" i="8"/>
  <c r="E29" i="8" s="1"/>
  <c r="G84" i="10"/>
  <c r="G111" i="10"/>
  <c r="G106" i="11"/>
  <c r="G107" i="11" s="1"/>
  <c r="P93" i="11"/>
  <c r="F13" i="11"/>
  <c r="P124" i="11"/>
  <c r="I113" i="10"/>
  <c r="G113" i="10"/>
  <c r="E112" i="10" l="1"/>
  <c r="E104" i="10"/>
  <c r="F18" i="16"/>
  <c r="I24" i="10"/>
  <c r="G24" i="10"/>
  <c r="E18" i="16"/>
  <c r="F15" i="11"/>
  <c r="E20" i="11"/>
  <c r="G96" i="10"/>
  <c r="I96" i="10"/>
  <c r="E15" i="11"/>
  <c r="H70" i="6"/>
  <c r="D15" i="11"/>
  <c r="Q212" i="8"/>
  <c r="F15" i="8" s="1"/>
  <c r="F44" i="8" s="1"/>
  <c r="F46" i="8" s="1"/>
  <c r="P268" i="8"/>
  <c r="P283" i="8" s="1"/>
  <c r="I103" i="10"/>
  <c r="I88" i="10"/>
  <c r="G88" i="10"/>
  <c r="G103" i="10"/>
  <c r="Q134" i="8"/>
  <c r="E15" i="8" s="1"/>
  <c r="E44" i="8" s="1"/>
  <c r="E46" i="8" s="1"/>
  <c r="P190" i="8"/>
  <c r="P205" i="8" s="1"/>
  <c r="F143" i="8"/>
  <c r="Q140" i="8"/>
  <c r="E17" i="8" s="1"/>
  <c r="G89" i="10" s="1"/>
  <c r="K40" i="84"/>
  <c r="L60" i="84"/>
  <c r="E109" i="10"/>
  <c r="E108" i="10"/>
  <c r="F63" i="8"/>
  <c r="R60" i="8"/>
  <c r="D17" i="8" s="1"/>
  <c r="E89" i="10" s="1"/>
  <c r="F65" i="11"/>
  <c r="F76" i="11"/>
  <c r="G76" i="11" s="1"/>
  <c r="H76" i="11" s="1"/>
  <c r="O221" i="8"/>
  <c r="Q218" i="8"/>
  <c r="F17" i="8" s="1"/>
  <c r="I89" i="10" s="1"/>
  <c r="I112" i="10" l="1"/>
  <c r="I104" i="10"/>
  <c r="G112" i="10"/>
  <c r="G104" i="10"/>
  <c r="O268" i="8"/>
  <c r="Q221" i="8"/>
  <c r="I65" i="11"/>
  <c r="I76" i="11" s="1"/>
  <c r="J76" i="11" s="1"/>
  <c r="K76" i="11" s="1"/>
  <c r="F107" i="8"/>
  <c r="R107" i="8" s="1"/>
  <c r="F112" i="8"/>
  <c r="R63" i="8"/>
  <c r="F139" i="11"/>
  <c r="L40" i="84"/>
  <c r="F190" i="8"/>
  <c r="Q143" i="8"/>
  <c r="G109" i="10"/>
  <c r="G108" i="10"/>
  <c r="I108" i="10"/>
  <c r="I109" i="10"/>
  <c r="G77" i="10" l="1"/>
  <c r="G110" i="10"/>
  <c r="G107" i="10" s="1"/>
  <c r="E47" i="8" s="1"/>
  <c r="F205" i="8"/>
  <c r="Q190" i="8"/>
  <c r="E24" i="8" s="1"/>
  <c r="L61" i="84"/>
  <c r="K41" i="84"/>
  <c r="E110" i="10"/>
  <c r="E107" i="10" s="1"/>
  <c r="D47" i="8" s="1"/>
  <c r="E77" i="10"/>
  <c r="F127" i="8"/>
  <c r="R112" i="8"/>
  <c r="D24" i="8" s="1"/>
  <c r="L65" i="11"/>
  <c r="L76" i="11" s="1"/>
  <c r="M76" i="11" s="1"/>
  <c r="N76" i="11" s="1"/>
  <c r="I77" i="10"/>
  <c r="I110" i="10"/>
  <c r="I107" i="10" s="1"/>
  <c r="F47" i="8" s="1"/>
  <c r="O283" i="8"/>
  <c r="J42" i="84" s="1"/>
  <c r="Q268" i="8"/>
  <c r="Q283" i="8" l="1"/>
  <c r="F31" i="8" s="1"/>
  <c r="F24" i="8"/>
  <c r="J44" i="84"/>
  <c r="C101" i="11"/>
  <c r="O76" i="11"/>
  <c r="P65" i="11"/>
  <c r="E121" i="10"/>
  <c r="D48" i="8"/>
  <c r="D39" i="84"/>
  <c r="F39" i="84" s="1"/>
  <c r="D41" i="84"/>
  <c r="D42" i="84"/>
  <c r="D40" i="84"/>
  <c r="R127" i="8"/>
  <c r="D31" i="8" s="1"/>
  <c r="L41" i="84"/>
  <c r="I139" i="11"/>
  <c r="G121" i="10"/>
  <c r="E48" i="8"/>
  <c r="G39" i="84"/>
  <c r="I39" i="84" s="1"/>
  <c r="I60" i="84" s="1"/>
  <c r="G42" i="84"/>
  <c r="G40" i="84"/>
  <c r="Q205" i="8"/>
  <c r="E31" i="8" s="1"/>
  <c r="G41" i="84"/>
  <c r="E38" i="8" l="1"/>
  <c r="C141" i="11" s="1"/>
  <c r="P141" i="11" s="1"/>
  <c r="F32" i="11" s="1"/>
  <c r="E14" i="84"/>
  <c r="E15" i="84" s="1"/>
  <c r="G44" i="84"/>
  <c r="H40" i="84"/>
  <c r="L62" i="84"/>
  <c r="K42" i="84"/>
  <c r="D14" i="84"/>
  <c r="D15" i="84" s="1"/>
  <c r="D38" i="8"/>
  <c r="C105" i="11" s="1"/>
  <c r="P105" i="11" s="1"/>
  <c r="E32" i="11" s="1"/>
  <c r="D44" i="84"/>
  <c r="E40" i="84"/>
  <c r="F60" i="84"/>
  <c r="D28" i="11"/>
  <c r="C112" i="11"/>
  <c r="D112" i="11" s="1"/>
  <c r="E112" i="11" s="1"/>
  <c r="D39" i="11"/>
  <c r="I121" i="10"/>
  <c r="F48" i="8"/>
  <c r="F38" i="8"/>
  <c r="F14" i="84"/>
  <c r="F15" i="84" s="1"/>
  <c r="F26" i="84" l="1"/>
  <c r="L68" i="84"/>
  <c r="F101" i="11"/>
  <c r="F112" i="11" s="1"/>
  <c r="G112" i="11" s="1"/>
  <c r="H112" i="11" s="1"/>
  <c r="F67" i="11"/>
  <c r="F40" i="84"/>
  <c r="E24" i="84"/>
  <c r="N102" i="11" s="1"/>
  <c r="N106" i="11" s="1"/>
  <c r="N107" i="11" s="1"/>
  <c r="D19" i="84"/>
  <c r="E23" i="84"/>
  <c r="D26" i="84"/>
  <c r="D27" i="84" s="1"/>
  <c r="E27" i="84" s="1"/>
  <c r="F27" i="84" s="1"/>
  <c r="F21" i="84"/>
  <c r="F138" i="11" s="1"/>
  <c r="F68" i="84"/>
  <c r="L42" i="84"/>
  <c r="L139" i="11"/>
  <c r="M62" i="84"/>
  <c r="I40" i="84"/>
  <c r="I68" i="84"/>
  <c r="F24" i="84"/>
  <c r="N138" i="11" s="1"/>
  <c r="N142" i="11" s="1"/>
  <c r="N143" i="11" s="1"/>
  <c r="E26" i="84"/>
  <c r="F23" i="84"/>
  <c r="F28" i="84" l="1"/>
  <c r="L138" i="11"/>
  <c r="E33" i="8"/>
  <c r="I61" i="84"/>
  <c r="I103" i="11" s="1"/>
  <c r="H41" i="84"/>
  <c r="L63" i="84"/>
  <c r="K44" i="84"/>
  <c r="L44" i="84" s="1"/>
  <c r="D33" i="8"/>
  <c r="L102" i="11"/>
  <c r="E28" i="84"/>
  <c r="D29" i="84"/>
  <c r="F76" i="84" s="1"/>
  <c r="E60" i="10" s="1"/>
  <c r="E22" i="84"/>
  <c r="I102" i="11" s="1"/>
  <c r="E17" i="84"/>
  <c r="E19" i="84" s="1"/>
  <c r="F61" i="84"/>
  <c r="E41" i="84"/>
  <c r="F70" i="11"/>
  <c r="F71" i="11" s="1"/>
  <c r="F72" i="11" s="1"/>
  <c r="G46" i="11" s="1"/>
  <c r="G72" i="11" s="1"/>
  <c r="H46" i="11" s="1"/>
  <c r="H72" i="11" s="1"/>
  <c r="I46" i="11" s="1"/>
  <c r="I101" i="11"/>
  <c r="F33" i="8"/>
  <c r="L73" i="84"/>
  <c r="P102" i="11" l="1"/>
  <c r="E29" i="11" s="1"/>
  <c r="F35" i="8"/>
  <c r="F39" i="8"/>
  <c r="I106" i="11"/>
  <c r="I107" i="11" s="1"/>
  <c r="I112" i="11"/>
  <c r="J112" i="11" s="1"/>
  <c r="K112" i="11" s="1"/>
  <c r="F41" i="84"/>
  <c r="I67" i="11"/>
  <c r="F17" i="84"/>
  <c r="F19" i="84" s="1"/>
  <c r="F29" i="84" s="1"/>
  <c r="L76" i="84" s="1"/>
  <c r="F22" i="84"/>
  <c r="I138" i="11" s="1"/>
  <c r="P138" i="11" s="1"/>
  <c r="F29" i="11" s="1"/>
  <c r="E29" i="84"/>
  <c r="I76" i="84" s="1"/>
  <c r="E62" i="10"/>
  <c r="D39" i="8"/>
  <c r="G36" i="10" s="1"/>
  <c r="D35" i="8"/>
  <c r="I41" i="84"/>
  <c r="E39" i="8"/>
  <c r="E35" i="8"/>
  <c r="G122" i="10" l="1"/>
  <c r="G39" i="10"/>
  <c r="I62" i="84"/>
  <c r="L103" i="11" s="1"/>
  <c r="H42" i="84"/>
  <c r="E39" i="10"/>
  <c r="E122" i="10"/>
  <c r="G42" i="10"/>
  <c r="I36" i="10"/>
  <c r="E83" i="10"/>
  <c r="E67" i="10"/>
  <c r="E100" i="10"/>
  <c r="I70" i="11"/>
  <c r="I71" i="11" s="1"/>
  <c r="I72" i="11" s="1"/>
  <c r="J46" i="11" s="1"/>
  <c r="J72" i="11" s="1"/>
  <c r="K46" i="11" s="1"/>
  <c r="K72" i="11" s="1"/>
  <c r="L46" i="11" s="1"/>
  <c r="F62" i="84"/>
  <c r="E42" i="84"/>
  <c r="L101" i="11"/>
  <c r="I39" i="10"/>
  <c r="I122" i="10"/>
  <c r="I76" i="10" l="1"/>
  <c r="I101" i="10" s="1"/>
  <c r="F40" i="8"/>
  <c r="I78" i="10"/>
  <c r="L106" i="11"/>
  <c r="L107" i="11" s="1"/>
  <c r="P101" i="11"/>
  <c r="L112" i="11"/>
  <c r="M112" i="11" s="1"/>
  <c r="N112" i="11" s="1"/>
  <c r="F42" i="84"/>
  <c r="L67" i="11"/>
  <c r="G62" i="84"/>
  <c r="I42" i="10"/>
  <c r="G66" i="10"/>
  <c r="G118" i="10"/>
  <c r="E76" i="10"/>
  <c r="E101" i="10" s="1"/>
  <c r="D40" i="8"/>
  <c r="E42" i="10"/>
  <c r="E79" i="10" s="1"/>
  <c r="I42" i="84"/>
  <c r="G76" i="10"/>
  <c r="G101" i="10" s="1"/>
  <c r="G79" i="10"/>
  <c r="E40" i="8"/>
  <c r="G78" i="10"/>
  <c r="G119" i="10"/>
  <c r="I63" i="84" l="1"/>
  <c r="C139" i="11" s="1"/>
  <c r="H44" i="84"/>
  <c r="I44" i="84" s="1"/>
  <c r="H139" i="11" s="1"/>
  <c r="H142" i="11" s="1"/>
  <c r="H143" i="11" s="1"/>
  <c r="E98" i="10"/>
  <c r="E64" i="10"/>
  <c r="E118" i="10"/>
  <c r="E66" i="10"/>
  <c r="E97" i="10"/>
  <c r="E119" i="10"/>
  <c r="G68" i="10"/>
  <c r="I118" i="10"/>
  <c r="I66" i="10"/>
  <c r="I119" i="10"/>
  <c r="I79" i="10"/>
  <c r="F73" i="84"/>
  <c r="E25" i="10" s="1"/>
  <c r="L70" i="11"/>
  <c r="L71" i="11" s="1"/>
  <c r="L72" i="11" s="1"/>
  <c r="M46" i="11" s="1"/>
  <c r="M72" i="11" s="1"/>
  <c r="N46" i="11" s="1"/>
  <c r="N72" i="11" s="1"/>
  <c r="P67" i="11"/>
  <c r="F63" i="84"/>
  <c r="C103" i="11" s="1"/>
  <c r="E44" i="84"/>
  <c r="F44" i="84" s="1"/>
  <c r="H103" i="11" s="1"/>
  <c r="H106" i="11" s="1"/>
  <c r="H107" i="11" s="1"/>
  <c r="O112" i="11"/>
  <c r="C137" i="11" s="1"/>
  <c r="E28" i="11"/>
  <c r="C142" i="11" l="1"/>
  <c r="C143" i="11" s="1"/>
  <c r="C148" i="11"/>
  <c r="D148" i="11" s="1"/>
  <c r="E148" i="11" s="1"/>
  <c r="E39" i="11"/>
  <c r="C106" i="11"/>
  <c r="C107" i="11" s="1"/>
  <c r="D30" i="11"/>
  <c r="P70" i="11"/>
  <c r="D19" i="16"/>
  <c r="D20" i="16" s="1"/>
  <c r="D22" i="16" s="1"/>
  <c r="O46" i="11"/>
  <c r="O72" i="11" s="1"/>
  <c r="F103" i="11"/>
  <c r="J62" i="84"/>
  <c r="I73" i="84" s="1"/>
  <c r="I68" i="10"/>
  <c r="E68" i="10"/>
  <c r="E86" i="10"/>
  <c r="P139" i="11"/>
  <c r="F30" i="11" s="1"/>
  <c r="E81" i="10" l="1"/>
  <c r="F106" i="11"/>
  <c r="F107" i="11" s="1"/>
  <c r="P103" i="11"/>
  <c r="D33" i="11"/>
  <c r="P71" i="11"/>
  <c r="G25" i="10"/>
  <c r="G60" i="10"/>
  <c r="F137" i="11"/>
  <c r="F142" i="11" l="1"/>
  <c r="F143" i="11" s="1"/>
  <c r="F148" i="11"/>
  <c r="G148" i="11" s="1"/>
  <c r="H148" i="11" s="1"/>
  <c r="G62" i="10"/>
  <c r="D34" i="11"/>
  <c r="P72" i="11"/>
  <c r="E30" i="11"/>
  <c r="P106" i="11"/>
  <c r="E33" i="11" l="1"/>
  <c r="P107" i="11"/>
  <c r="E34" i="11" s="1"/>
  <c r="C82" i="11"/>
  <c r="C108" i="11" s="1"/>
  <c r="D82" i="11" s="1"/>
  <c r="D108" i="11" s="1"/>
  <c r="E82" i="11" s="1"/>
  <c r="E108" i="11" s="1"/>
  <c r="F82" i="11" s="1"/>
  <c r="F108" i="11" s="1"/>
  <c r="G82" i="11" s="1"/>
  <c r="G108" i="11" s="1"/>
  <c r="H82" i="11" s="1"/>
  <c r="H108" i="11" s="1"/>
  <c r="I82" i="11" s="1"/>
  <c r="I108" i="11" s="1"/>
  <c r="J82" i="11" s="1"/>
  <c r="J108" i="11" s="1"/>
  <c r="K82" i="11" s="1"/>
  <c r="K108" i="11" s="1"/>
  <c r="L82" i="11" s="1"/>
  <c r="L108" i="11" s="1"/>
  <c r="M82" i="11" s="1"/>
  <c r="M108" i="11" s="1"/>
  <c r="N82" i="11" s="1"/>
  <c r="N108" i="11" s="1"/>
  <c r="O82" i="11" s="1"/>
  <c r="O108" i="11" s="1"/>
  <c r="D35" i="11"/>
  <c r="E28" i="10" s="1"/>
  <c r="P82" i="11"/>
  <c r="G83" i="10"/>
  <c r="G100" i="10"/>
  <c r="G67" i="10"/>
  <c r="G98" i="10"/>
  <c r="G64" i="10"/>
  <c r="G81" i="10"/>
  <c r="I137" i="11"/>
  <c r="I148" i="11" s="1"/>
  <c r="J148" i="11" s="1"/>
  <c r="K148" i="11" s="1"/>
  <c r="L137" i="11" l="1"/>
  <c r="L142" i="11" s="1"/>
  <c r="L143" i="11" s="1"/>
  <c r="L148" i="11"/>
  <c r="M148" i="11" s="1"/>
  <c r="N148" i="11" s="1"/>
  <c r="O148" i="11" s="1"/>
  <c r="F39" i="11" s="1"/>
  <c r="I142" i="11"/>
  <c r="I143" i="11" s="1"/>
  <c r="P137" i="11"/>
  <c r="G86" i="10"/>
  <c r="G97" i="10"/>
  <c r="P108" i="11"/>
  <c r="E9" i="11"/>
  <c r="E82" i="10"/>
  <c r="E29" i="10"/>
  <c r="E93" i="10" l="1"/>
  <c r="E87" i="10"/>
  <c r="E92" i="10"/>
  <c r="E31" i="10"/>
  <c r="F29" i="10" s="1"/>
  <c r="E102" i="10"/>
  <c r="E35" i="11"/>
  <c r="C118" i="11"/>
  <c r="C144" i="11" s="1"/>
  <c r="D118" i="11" s="1"/>
  <c r="D144" i="11" s="1"/>
  <c r="E118" i="11" s="1"/>
  <c r="E144" i="11" s="1"/>
  <c r="F118" i="11" s="1"/>
  <c r="F144" i="11" s="1"/>
  <c r="G118" i="11" s="1"/>
  <c r="G144" i="11" s="1"/>
  <c r="H118" i="11" s="1"/>
  <c r="H144" i="11" s="1"/>
  <c r="I118" i="11" s="1"/>
  <c r="I144" i="11" s="1"/>
  <c r="J118" i="11" s="1"/>
  <c r="J144" i="11" s="1"/>
  <c r="K118" i="11" s="1"/>
  <c r="K144" i="11" s="1"/>
  <c r="L118" i="11" s="1"/>
  <c r="L144" i="11" s="1"/>
  <c r="M118" i="11" s="1"/>
  <c r="M144" i="11" s="1"/>
  <c r="N118" i="11" s="1"/>
  <c r="N144" i="11" s="1"/>
  <c r="O118" i="11" s="1"/>
  <c r="O144" i="11" s="1"/>
  <c r="P118" i="11"/>
  <c r="F28" i="11"/>
  <c r="P142" i="11"/>
  <c r="I25" i="10"/>
  <c r="I60" i="10"/>
  <c r="I62" i="10" l="1"/>
  <c r="F33" i="11"/>
  <c r="P143" i="11"/>
  <c r="F34" i="11" s="1"/>
  <c r="F9" i="11"/>
  <c r="E19" i="16"/>
  <c r="E20" i="16" s="1"/>
  <c r="E22" i="16" s="1"/>
  <c r="G28" i="10"/>
  <c r="F48" i="10"/>
  <c r="F15" i="10"/>
  <c r="F35" i="10"/>
  <c r="E120" i="10"/>
  <c r="F47" i="10"/>
  <c r="F19" i="10"/>
  <c r="F14" i="10"/>
  <c r="F17" i="10"/>
  <c r="F55" i="10"/>
  <c r="F57" i="10"/>
  <c r="F56" i="10"/>
  <c r="F20" i="10"/>
  <c r="F45" i="10"/>
  <c r="F49" i="10"/>
  <c r="F22" i="10"/>
  <c r="F63" i="10"/>
  <c r="E99" i="10"/>
  <c r="F36" i="10"/>
  <c r="F31" i="10"/>
  <c r="F51" i="10"/>
  <c r="F46" i="10"/>
  <c r="F24" i="10"/>
  <c r="F59" i="10"/>
  <c r="F54" i="10"/>
  <c r="E85" i="10"/>
  <c r="F60" i="10"/>
  <c r="F62" i="10"/>
  <c r="F67" i="10"/>
  <c r="F39" i="10"/>
  <c r="E80" i="10"/>
  <c r="E117" i="10"/>
  <c r="F42" i="10"/>
  <c r="F25" i="10"/>
  <c r="F66" i="10"/>
  <c r="E71" i="10"/>
  <c r="F64" i="10"/>
  <c r="E90" i="10"/>
  <c r="F68" i="10"/>
  <c r="F28" i="10"/>
  <c r="P144" i="11" l="1"/>
  <c r="F35" i="11" s="1"/>
  <c r="G82" i="10"/>
  <c r="G29" i="10"/>
  <c r="F19" i="16"/>
  <c r="F20" i="16" s="1"/>
  <c r="F22" i="16" s="1"/>
  <c r="I28" i="10"/>
  <c r="I100" i="10"/>
  <c r="I83" i="10"/>
  <c r="I67" i="10"/>
  <c r="I98" i="10"/>
  <c r="I64" i="10"/>
  <c r="I81" i="10"/>
  <c r="I86" i="10" l="1"/>
  <c r="I97" i="10"/>
  <c r="I82" i="10"/>
  <c r="I29" i="10"/>
  <c r="G31" i="10"/>
  <c r="H29" i="10" s="1"/>
  <c r="G92" i="10"/>
  <c r="G87" i="10"/>
  <c r="G93" i="10"/>
  <c r="G102" i="10"/>
  <c r="H55" i="10" l="1"/>
  <c r="G120" i="10"/>
  <c r="H46" i="10"/>
  <c r="G99" i="10"/>
  <c r="H47" i="10"/>
  <c r="H63" i="10"/>
  <c r="H35" i="10"/>
  <c r="H15" i="10"/>
  <c r="H17" i="10"/>
  <c r="H20" i="10"/>
  <c r="H49" i="10"/>
  <c r="H19" i="10"/>
  <c r="H31" i="10"/>
  <c r="H48" i="10"/>
  <c r="H14" i="10"/>
  <c r="H56" i="10"/>
  <c r="H57" i="10"/>
  <c r="H24" i="10"/>
  <c r="H54" i="10"/>
  <c r="H45" i="10"/>
  <c r="H59" i="10"/>
  <c r="H51" i="10"/>
  <c r="H22" i="10"/>
  <c r="G85" i="10"/>
  <c r="H36" i="10"/>
  <c r="H42" i="10"/>
  <c r="G117" i="10"/>
  <c r="G80" i="10"/>
  <c r="H39" i="10"/>
  <c r="H66" i="10"/>
  <c r="H68" i="10"/>
  <c r="H60" i="10"/>
  <c r="H25" i="10"/>
  <c r="H62" i="10"/>
  <c r="H64" i="10"/>
  <c r="G71" i="10"/>
  <c r="G90" i="10"/>
  <c r="H67" i="10"/>
  <c r="H28" i="10"/>
  <c r="I87" i="10"/>
  <c r="I92" i="10"/>
  <c r="I93" i="10"/>
  <c r="I31" i="10"/>
  <c r="J29" i="10"/>
  <c r="I102" i="10"/>
  <c r="I120" i="10" l="1"/>
  <c r="J46" i="10"/>
  <c r="J57" i="10"/>
  <c r="J35" i="10"/>
  <c r="J14" i="10"/>
  <c r="J17" i="10"/>
  <c r="J48" i="10"/>
  <c r="J15" i="10"/>
  <c r="J19" i="10"/>
  <c r="J63" i="10"/>
  <c r="I99" i="10"/>
  <c r="J56" i="10"/>
  <c r="J55" i="10"/>
  <c r="J49" i="10"/>
  <c r="J31" i="10"/>
  <c r="J47" i="10"/>
  <c r="J20" i="10"/>
  <c r="J24" i="10"/>
  <c r="J54" i="10"/>
  <c r="J45" i="10"/>
  <c r="J59" i="10"/>
  <c r="J51" i="10"/>
  <c r="J22" i="10"/>
  <c r="I85" i="10"/>
  <c r="I80" i="10"/>
  <c r="J39" i="10"/>
  <c r="J36" i="10"/>
  <c r="J42" i="10"/>
  <c r="I117" i="10"/>
  <c r="J66" i="10"/>
  <c r="J68" i="10"/>
  <c r="J60" i="10"/>
  <c r="J25" i="10"/>
  <c r="J62" i="10"/>
  <c r="I71" i="10"/>
  <c r="J64" i="10"/>
  <c r="I90" i="10"/>
  <c r="J67" i="10"/>
  <c r="J28" i="10"/>
  <c r="C7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JM</author>
  </authors>
  <commentList>
    <comment ref="C31" authorId="0" shapeId="0" xr:uid="{00000000-0006-0000-0300-000001000000}">
      <text>
        <r>
          <rPr>
            <b/>
            <sz val="8"/>
            <color indexed="81"/>
            <rFont val="Tahoma"/>
            <family val="2"/>
          </rPr>
          <t>Número de unidades de cada producto o servicio que espera vender cada mes.
Si desconoce el número de unidades y solo cuenta con una estimación global de la cifra de ventas, coloque 1 en esta casilla y el total de ventas previstas en la casilla de "Precio unitario de venta".</t>
        </r>
      </text>
    </comment>
    <comment ref="C32" authorId="0" shapeId="0" xr:uid="{00000000-0006-0000-0300-000002000000}">
      <text>
        <r>
          <rPr>
            <b/>
            <sz val="8"/>
            <color indexed="81"/>
            <rFont val="Tahoma"/>
            <family val="2"/>
          </rPr>
          <t>Precio de venta de cada unidad de producto o servicio que aplicará en cada mes.
Si desconoce el precio de cada unidad y solo cuenta con una estimación global de la cifra de ventas, coloque  en esta casilla  el total de ventas previstas y 1 en la casilla de "Unidades a vender".</t>
        </r>
      </text>
    </comment>
    <comment ref="C34" authorId="0" shapeId="0" xr:uid="{00000000-0006-0000-0300-000003000000}">
      <text>
        <r>
          <rPr>
            <b/>
            <sz val="8"/>
            <color indexed="81"/>
            <rFont val="Tahoma"/>
            <family val="2"/>
          </rPr>
          <t xml:space="preserve">Precio que espera tener que pagar  cada mes por cada unidad de mercancía </t>
        </r>
        <r>
          <rPr>
            <b/>
            <u/>
            <sz val="8"/>
            <color indexed="81"/>
            <rFont val="Tahoma"/>
            <family val="2"/>
          </rPr>
          <t>adquirida para reventa</t>
        </r>
        <r>
          <rPr>
            <b/>
            <sz val="8"/>
            <color indexed="81"/>
            <rFont val="Tahoma"/>
            <family val="2"/>
          </rPr>
          <t xml:space="preserve">.  
Si desconoce el precio de cada unidad y solo cuenta con una cifra global del coste de las mercancías, coloque aquí  esa cantidad, 1 en la casilla de "Unidades a vender" y la cifra total de ventas previstas en el mes en la casilla "Precio unitario de venta".
Las compras de   materia prima o materiales que debe adquirir para, tras un proceso de transformacion,  obtener  este producto o servicio a vender se reseñan en el apartado de "Otros costes directos imputables al producto/servicio". </t>
        </r>
      </text>
    </comment>
    <comment ref="C35" authorId="0" shapeId="0" xr:uid="{00000000-0006-0000-0300-000004000000}">
      <text>
        <r>
          <rPr>
            <b/>
            <sz val="8"/>
            <color indexed="81"/>
            <rFont val="Tahoma"/>
            <family val="2"/>
          </rPr>
          <t xml:space="preserve">Indique el total mensual de de la adquisición de productos y/o materias primas necesarios para la obtención del producto o servicio, además de aquellos otros costes, que sean imputables a la comercialización del mismo, como puede ser: Envases, costes de transformación etc. 
Si no fuera posible esta asignación por tratarse de costes comunes a todos los productos o servicios, indique el importe más abajo en el apartado "Otros costes proporcionales comunes a todos los productos".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jorge</author>
    <author>JM</author>
    <author>JML</author>
    <author>Jorge Muñoz</author>
  </authors>
  <commentList>
    <comment ref="E25" authorId="0" shapeId="0" xr:uid="{00000000-0006-0000-0400-000001000000}">
      <text>
        <r>
          <rPr>
            <i/>
            <sz val="10"/>
            <color indexed="60"/>
            <rFont val="Times New Roman"/>
            <family val="1"/>
          </rPr>
          <t>Se sugieren períodos anuales razonables para la amortización de los elementos de inversión inicial, los cuales pueden ser libremente modificados según  su criterio.
Tenga en cuenta que, a efectos fiscales, el Mº de Hacienda tiene establecidos unos plazos máximos según el régimen fiscal.</t>
        </r>
      </text>
    </comment>
    <comment ref="C27" authorId="1" shapeId="0" xr:uid="{00000000-0006-0000-0400-000002000000}">
      <text>
        <r>
          <rPr>
            <sz val="8"/>
            <color indexed="81"/>
            <rFont val="Tahoma"/>
            <family val="2"/>
          </rPr>
          <t>El inmovilizado material puede incluir los gastos de financiación, impuestos indirectos y una estimación de las obligaciones asumidas de desmantelamiento, siempre que vengan determinadas por disposición legal</t>
        </r>
      </text>
    </comment>
    <comment ref="C28" authorId="0" shapeId="0" xr:uid="{00000000-0006-0000-0400-000003000000}">
      <text>
        <r>
          <rPr>
            <sz val="9"/>
            <color indexed="81"/>
            <rFont val="Arial"/>
            <family val="2"/>
          </rPr>
          <t xml:space="preserve">Valor de los locales del negocio u otros edificios que no sean alquilados </t>
        </r>
        <r>
          <rPr>
            <b/>
            <u/>
            <sz val="9"/>
            <color indexed="81"/>
            <rFont val="Arial"/>
            <family val="2"/>
          </rPr>
          <t xml:space="preserve"> y que se trate de primera adquisición  (sujeto a IVA)</t>
        </r>
        <r>
          <rPr>
            <sz val="9"/>
            <color indexed="81"/>
            <rFont val="Arial"/>
            <family val="2"/>
          </rPr>
          <t xml:space="preserve">
Si fuera significativo, puede separar los valores de la construcción y de los terrenos, llenando una casilla para Edificios y Construcciones y otra para  Terrenos y Solares.</t>
        </r>
      </text>
    </comment>
    <comment ref="E28" authorId="0" shapeId="0" xr:uid="{00000000-0006-0000-0400-000004000000}">
      <text>
        <r>
          <rPr>
            <b/>
            <sz val="8"/>
            <color indexed="81"/>
            <rFont val="Tahoma"/>
            <family val="2"/>
          </rPr>
          <t xml:space="preserve">Se aconseja entre 33 y 68 años.
</t>
        </r>
      </text>
    </comment>
    <comment ref="C29" authorId="0" shapeId="0" xr:uid="{00000000-0006-0000-0400-000005000000}">
      <text>
        <r>
          <rPr>
            <b/>
            <sz val="9"/>
            <color indexed="81"/>
            <rFont val="Arial"/>
            <family val="2"/>
          </rPr>
          <t xml:space="preserve">Gastos de acondicionamiento del negocio: Obras, cableado informático, electrico, aire acondicionado, sanitario, etc.
</t>
        </r>
      </text>
    </comment>
    <comment ref="E29" authorId="0" shapeId="0" xr:uid="{00000000-0006-0000-0400-000006000000}">
      <text>
        <r>
          <rPr>
            <b/>
            <sz val="8"/>
            <color indexed="81"/>
            <rFont val="Tahoma"/>
            <family val="2"/>
          </rPr>
          <t xml:space="preserve">Se aconseja entre 10 y 20 años.
</t>
        </r>
      </text>
    </comment>
    <comment ref="C30" authorId="0" shapeId="0" xr:uid="{00000000-0006-0000-0400-000007000000}">
      <text>
        <r>
          <rPr>
            <b/>
            <sz val="9"/>
            <color indexed="81"/>
            <rFont val="Arial"/>
            <family val="2"/>
          </rPr>
          <t xml:space="preserve">Con la que se fabricarán los productos
</t>
        </r>
      </text>
    </comment>
    <comment ref="E30" authorId="0" shapeId="0" xr:uid="{00000000-0006-0000-0400-000008000000}">
      <text>
        <r>
          <rPr>
            <b/>
            <sz val="8"/>
            <color indexed="81"/>
            <rFont val="Tahoma"/>
            <family val="2"/>
          </rPr>
          <t xml:space="preserve">Se aconseja entre 9 y 18 años.
</t>
        </r>
      </text>
    </comment>
    <comment ref="C31" authorId="0" shapeId="0" xr:uid="{00000000-0006-0000-0400-000009000000}">
      <text>
        <r>
          <rPr>
            <b/>
            <sz val="9"/>
            <color indexed="81"/>
            <rFont val="Arial"/>
            <family val="2"/>
          </rPr>
          <t xml:space="preserve">Herramientas y maquinarias utilizadas en el proceso de producción (tornos, fresadoras, prensas, etc.) </t>
        </r>
        <r>
          <rPr>
            <b/>
            <u/>
            <sz val="9"/>
            <color indexed="81"/>
            <rFont val="Arial"/>
            <family val="2"/>
          </rPr>
          <t>Con vida útil superior a un año</t>
        </r>
        <r>
          <rPr>
            <b/>
            <sz val="9"/>
            <color indexed="81"/>
            <rFont val="Arial"/>
            <family val="2"/>
          </rPr>
          <t xml:space="preserve">
</t>
        </r>
      </text>
    </comment>
    <comment ref="E31" authorId="0" shapeId="0" xr:uid="{00000000-0006-0000-0400-00000A000000}">
      <text>
        <r>
          <rPr>
            <b/>
            <sz val="8"/>
            <color indexed="81"/>
            <rFont val="Tahoma"/>
            <family val="2"/>
          </rPr>
          <t xml:space="preserve">Se aconseja entre 4 y 8 años.
</t>
        </r>
      </text>
    </comment>
    <comment ref="C32" authorId="0" shapeId="0" xr:uid="{00000000-0006-0000-0400-00000B000000}">
      <text>
        <r>
          <rPr>
            <b/>
            <sz val="8"/>
            <color indexed="81"/>
            <rFont val="Tahoma"/>
            <family val="2"/>
          </rPr>
          <t>Mesas, sillas, estanterías, etc.</t>
        </r>
        <r>
          <rPr>
            <sz val="8"/>
            <color indexed="81"/>
            <rFont val="Tahoma"/>
            <family val="2"/>
          </rPr>
          <t xml:space="preserve">
</t>
        </r>
      </text>
    </comment>
    <comment ref="E32" authorId="0" shapeId="0" xr:uid="{00000000-0006-0000-0400-00000C000000}">
      <text>
        <r>
          <rPr>
            <b/>
            <sz val="8"/>
            <color indexed="81"/>
            <rFont val="Tahoma"/>
            <family val="2"/>
          </rPr>
          <t xml:space="preserve">Se aconseja entre 10 y 20 años.
</t>
        </r>
      </text>
    </comment>
    <comment ref="C33" authorId="0" shapeId="0" xr:uid="{00000000-0006-0000-0400-00000D000000}">
      <text>
        <r>
          <rPr>
            <b/>
            <sz val="8"/>
            <color indexed="81"/>
            <rFont val="Tahoma"/>
            <family val="2"/>
          </rPr>
          <t>Vehículos que utilizará en el negocio</t>
        </r>
        <r>
          <rPr>
            <sz val="8"/>
            <color indexed="81"/>
            <rFont val="Tahoma"/>
            <family val="2"/>
          </rPr>
          <t xml:space="preserve">
</t>
        </r>
      </text>
    </comment>
    <comment ref="E33" authorId="0" shapeId="0" xr:uid="{00000000-0006-0000-0400-00000E000000}">
      <text>
        <r>
          <rPr>
            <b/>
            <sz val="8"/>
            <color indexed="81"/>
            <rFont val="Tahoma"/>
            <family val="2"/>
          </rPr>
          <t xml:space="preserve">Se aconseja entre 7 y 14 años.
</t>
        </r>
      </text>
    </comment>
    <comment ref="C34" authorId="0" shapeId="0" xr:uid="{00000000-0006-0000-0400-00000F000000}">
      <text>
        <r>
          <rPr>
            <b/>
            <sz val="8"/>
            <color indexed="81"/>
            <rFont val="Tahoma"/>
            <family val="2"/>
          </rPr>
          <t>Ordenadores, impresoras, escaners, etc.</t>
        </r>
        <r>
          <rPr>
            <sz val="8"/>
            <color indexed="81"/>
            <rFont val="Tahoma"/>
            <family val="2"/>
          </rPr>
          <t xml:space="preserve">
</t>
        </r>
      </text>
    </comment>
    <comment ref="E34" authorId="0" shapeId="0" xr:uid="{00000000-0006-0000-0400-000010000000}">
      <text>
        <r>
          <rPr>
            <b/>
            <sz val="8"/>
            <color indexed="81"/>
            <rFont val="Tahoma"/>
            <family val="2"/>
          </rPr>
          <t xml:space="preserve">Se aconseja entre 4 y 10 años.
</t>
        </r>
      </text>
    </comment>
    <comment ref="C38" authorId="2" shapeId="0" xr:uid="{00000000-0006-0000-0400-000011000000}">
      <text>
        <r>
          <rPr>
            <b/>
            <sz val="9"/>
            <color indexed="81"/>
            <rFont val="Tahoma"/>
            <family val="2"/>
          </rPr>
          <t>Edificios o locales adquiridos, cuando no se trate de primera adquisición. Incremente el precio del Impuesto de Transmisiones Patrimoniales</t>
        </r>
        <r>
          <rPr>
            <sz val="9"/>
            <color indexed="81"/>
            <rFont val="Tahoma"/>
            <family val="2"/>
          </rPr>
          <t xml:space="preserve">
</t>
        </r>
      </text>
    </comment>
    <comment ref="E39" authorId="1" shapeId="0" xr:uid="{00000000-0006-0000-0400-000012000000}">
      <text>
        <r>
          <rPr>
            <b/>
            <sz val="8"/>
            <color indexed="81"/>
            <rFont val="Tahoma"/>
            <family val="2"/>
          </rPr>
          <t xml:space="preserve">No se amortizan por considerar que tienen vida ilimitada.
</t>
        </r>
        <r>
          <rPr>
            <sz val="8"/>
            <color indexed="81"/>
            <rFont val="Tahoma"/>
            <family val="2"/>
          </rPr>
          <t xml:space="preserve">
</t>
        </r>
      </text>
    </comment>
    <comment ref="C41" authorId="1" shapeId="0" xr:uid="{00000000-0006-0000-0400-000013000000}">
      <text>
        <r>
          <rPr>
            <sz val="8"/>
            <color indexed="81"/>
            <rFont val="Tahoma"/>
            <family val="2"/>
          </rPr>
          <t xml:space="preserve">El valor de los elementos del inmovilizado puede incrementarse, si fuera significativo, en el importe de los impuestos no recuperables satisfechos y los gastos financieros que se hayan devengado antes de la puesta en marcha (siempre que dicho período no supere un año).
</t>
        </r>
      </text>
    </comment>
    <comment ref="C42" authorId="0" shapeId="0" xr:uid="{00000000-0006-0000-0400-000014000000}">
      <text>
        <r>
          <rPr>
            <b/>
            <sz val="8"/>
            <color indexed="81"/>
            <rFont val="Tahoma"/>
            <family val="2"/>
          </rPr>
          <t>Programas informáticos que se utilizarán en la empresa</t>
        </r>
        <r>
          <rPr>
            <sz val="8"/>
            <color indexed="81"/>
            <rFont val="Tahoma"/>
            <family val="2"/>
          </rPr>
          <t xml:space="preserve">
</t>
        </r>
      </text>
    </comment>
    <comment ref="E42" authorId="0" shapeId="0" xr:uid="{00000000-0006-0000-0400-000015000000}">
      <text>
        <r>
          <rPr>
            <b/>
            <sz val="8"/>
            <color indexed="81"/>
            <rFont val="Tahoma"/>
            <family val="2"/>
          </rPr>
          <t xml:space="preserve">Máximo 5 años. 
Se aconseja entre 1 y 3 años.
</t>
        </r>
      </text>
    </comment>
    <comment ref="C43" authorId="0" shapeId="0" xr:uid="{00000000-0006-0000-0400-000016000000}">
      <text>
        <r>
          <rPr>
            <b/>
            <sz val="8"/>
            <color indexed="81"/>
            <rFont val="Tahoma"/>
            <family val="2"/>
          </rPr>
          <t>Licencias  y permisos administrativos necesarios para la apertura del negocio o para la explotación de un bien, concedidos por entidades públicas o privadas.</t>
        </r>
        <r>
          <rPr>
            <sz val="8"/>
            <color indexed="81"/>
            <rFont val="Tahoma"/>
            <family val="2"/>
          </rPr>
          <t xml:space="preserve">
</t>
        </r>
      </text>
    </comment>
    <comment ref="E43" authorId="0" shapeId="0" xr:uid="{00000000-0006-0000-0400-000017000000}">
      <text>
        <r>
          <rPr>
            <b/>
            <sz val="8"/>
            <color indexed="81"/>
            <rFont val="Tahoma"/>
            <family val="2"/>
          </rPr>
          <t xml:space="preserve">Se aconseja entre 1 y 10 años.
</t>
        </r>
        <r>
          <rPr>
            <sz val="8"/>
            <color indexed="81"/>
            <rFont val="Tahoma"/>
            <family val="2"/>
          </rPr>
          <t xml:space="preserve">
</t>
        </r>
      </text>
    </comment>
    <comment ref="C44" authorId="0" shapeId="0" xr:uid="{00000000-0006-0000-0400-000018000000}">
      <text>
        <r>
          <rPr>
            <b/>
            <sz val="8"/>
            <color indexed="81"/>
            <rFont val="Tahoma"/>
            <family val="2"/>
          </rPr>
          <t>Valoración  de las patentes o marcas con que contará la empresa</t>
        </r>
        <r>
          <rPr>
            <sz val="8"/>
            <color indexed="81"/>
            <rFont val="Tahoma"/>
            <family val="2"/>
          </rPr>
          <t xml:space="preserve">
</t>
        </r>
      </text>
    </comment>
    <comment ref="E44" authorId="0" shapeId="0" xr:uid="{00000000-0006-0000-0400-000019000000}">
      <text>
        <r>
          <rPr>
            <b/>
            <sz val="8"/>
            <color indexed="81"/>
            <rFont val="Tahoma"/>
            <family val="2"/>
          </rPr>
          <t xml:space="preserve">Se aconseja entre 1 y 5 años.
</t>
        </r>
        <r>
          <rPr>
            <sz val="8"/>
            <color indexed="81"/>
            <rFont val="Tahoma"/>
            <family val="2"/>
          </rPr>
          <t xml:space="preserve">
</t>
        </r>
      </text>
    </comment>
    <comment ref="E45" authorId="3" shapeId="0" xr:uid="{00000000-0006-0000-0400-00001A000000}">
      <text>
        <r>
          <rPr>
            <b/>
            <sz val="8"/>
            <color indexed="81"/>
            <rFont val="Tahoma"/>
            <family val="2"/>
          </rPr>
          <t>Máximo 5 años.
Se aconseja entre 1 y 3 años.</t>
        </r>
      </text>
    </comment>
    <comment ref="C66" authorId="0" shapeId="0" xr:uid="{00000000-0006-0000-0400-00001B000000}">
      <text>
        <r>
          <rPr>
            <b/>
            <sz val="8"/>
            <color indexed="81"/>
            <rFont val="Tahoma"/>
            <family val="2"/>
          </rPr>
          <t xml:space="preserve">Honorarios de letrados, notario, inscripción en el Registro Mercantil, impuestos, etc.
</t>
        </r>
      </text>
    </comment>
    <comment ref="C67" authorId="0" shapeId="0" xr:uid="{00000000-0006-0000-0400-00001C000000}">
      <text>
        <r>
          <rPr>
            <b/>
            <sz val="8"/>
            <color indexed="81"/>
            <rFont val="Tahoma"/>
            <family val="2"/>
          </rPr>
          <t>Necesaria para que los trabajadores inicien su actividad</t>
        </r>
        <r>
          <rPr>
            <sz val="8"/>
            <color indexed="81"/>
            <rFont val="Tahoma"/>
            <family val="2"/>
          </rPr>
          <t xml:space="preserve">
</t>
        </r>
      </text>
    </comment>
    <comment ref="C68" authorId="0" shapeId="0" xr:uid="{00000000-0006-0000-0400-00001D000000}">
      <text>
        <r>
          <rPr>
            <b/>
            <sz val="8"/>
            <color indexed="81"/>
            <rFont val="Tahoma"/>
            <family val="2"/>
          </rPr>
          <t>Realizados por empresas independientes y necesarios para la puesta en marcha de la empresa.</t>
        </r>
        <r>
          <rPr>
            <sz val="8"/>
            <color indexed="81"/>
            <rFont val="Tahoma"/>
            <family val="2"/>
          </rPr>
          <t xml:space="preserve">
</t>
        </r>
      </text>
    </comment>
    <comment ref="C69" authorId="0" shapeId="0" xr:uid="{00000000-0006-0000-0400-00001E000000}">
      <text>
        <r>
          <rPr>
            <b/>
            <sz val="8"/>
            <color indexed="81"/>
            <rFont val="Tahoma"/>
            <family val="2"/>
          </rPr>
          <t>Publicidad inicial para dar a conocer la existencia de la empresa.</t>
        </r>
        <r>
          <rPr>
            <sz val="8"/>
            <color indexed="81"/>
            <rFont val="Tahoma"/>
            <family val="2"/>
          </rPr>
          <t xml:space="preserve">
</t>
        </r>
      </text>
    </comment>
    <comment ref="C70" authorId="0" shapeId="0" xr:uid="{00000000-0006-0000-0400-00001F000000}">
      <text>
        <r>
          <rPr>
            <b/>
            <sz val="8"/>
            <color indexed="81"/>
            <rFont val="Tahoma"/>
            <family val="2"/>
          </rPr>
          <t xml:space="preserve">IMPORTE DEL ALTA en contratos de suministro. La estimación de los costes mensuales se rellenará en el apartado: "Previsión de Gastos"
</t>
        </r>
      </text>
    </comment>
    <comment ref="C71" authorId="0" shapeId="0" xr:uid="{00000000-0006-0000-0400-000020000000}">
      <text>
        <r>
          <rPr>
            <b/>
            <sz val="8"/>
            <color indexed="81"/>
            <rFont val="Tahoma"/>
            <family val="2"/>
          </rPr>
          <t>En el caso de que la empresa los pague al arrendar locales.</t>
        </r>
      </text>
    </comment>
    <comment ref="C99" authorId="3" shapeId="0" xr:uid="{00000000-0006-0000-0400-000021000000}">
      <text>
        <r>
          <rPr>
            <b/>
            <sz val="8"/>
            <color indexed="81"/>
            <rFont val="Tahoma"/>
            <family val="2"/>
          </rPr>
          <t>Importe del dinero efectivo aportado por los socios por su participación en el capital</t>
        </r>
      </text>
    </comment>
    <comment ref="C100" authorId="3" shapeId="0" xr:uid="{00000000-0006-0000-0400-000022000000}">
      <text>
        <r>
          <rPr>
            <b/>
            <sz val="8"/>
            <color indexed="81"/>
            <rFont val="Tahoma"/>
            <family val="2"/>
          </rPr>
          <t>Importe de los bienes aportados por los socios como contrapartida a su participación en el capital , ya sean muebles,  inmuebles, o derechos. 
Estos bienes tienen que estar relacionados más arriba,  en el Plan de Inversión y/o en la aportación de mercancías.</t>
        </r>
      </text>
    </comment>
    <comment ref="C102" authorId="0" shapeId="0" xr:uid="{00000000-0006-0000-0400-000023000000}">
      <text>
        <r>
          <rPr>
            <b/>
            <sz val="8"/>
            <color indexed="81"/>
            <rFont val="Tahoma"/>
            <family val="2"/>
          </rPr>
          <t>Subvenciones recibidas a fondo perdido (que no se devolverán).</t>
        </r>
      </text>
    </comment>
    <comment ref="C103" authorId="3" shapeId="0" xr:uid="{00000000-0006-0000-0400-000024000000}">
      <text>
        <r>
          <rPr>
            <b/>
            <sz val="8"/>
            <color indexed="81"/>
            <rFont val="Tahoma"/>
            <family val="2"/>
          </rPr>
          <t>Otras aportaciones recibidas a fondo perdido (que no se devolverán).</t>
        </r>
      </text>
    </comment>
    <comment ref="C107" authorId="0" shapeId="0" xr:uid="{00000000-0006-0000-0400-000025000000}">
      <text>
        <r>
          <rPr>
            <b/>
            <sz val="8"/>
            <color indexed="81"/>
            <rFont val="Tahoma"/>
            <family val="2"/>
          </rPr>
          <t>Importe de los préstamos recibidos a devolver en más de  un año.</t>
        </r>
      </text>
    </comment>
    <comment ref="C113" authorId="0" shapeId="0" xr:uid="{00000000-0006-0000-0400-000026000000}">
      <text>
        <r>
          <rPr>
            <b/>
            <sz val="8"/>
            <color indexed="81"/>
            <rFont val="Tahoma"/>
            <family val="2"/>
          </rPr>
          <t>Contratos de alquiler de bienes con opción a compra.
Los bienes adquiridos bajo esta modalidad deben figurar más arriba,  en el Inmovilizado material.</t>
        </r>
      </text>
    </comment>
    <comment ref="F118" authorId="1" shapeId="0" xr:uid="{00000000-0006-0000-0400-000027000000}">
      <text>
        <r>
          <rPr>
            <b/>
            <sz val="8"/>
            <color indexed="81"/>
            <rFont val="Tahoma"/>
            <family val="2"/>
          </rPr>
          <t xml:space="preserve">Si la deuda se cancela íntegra al vencimiento indique 0
</t>
        </r>
      </text>
    </comment>
    <comment ref="C119" authorId="0" shapeId="0" xr:uid="{00000000-0006-0000-0400-000028000000}">
      <text>
        <r>
          <rPr>
            <b/>
            <sz val="8"/>
            <color indexed="81"/>
            <rFont val="Tahoma"/>
            <family val="2"/>
          </rPr>
          <t>Importes que deberán ser devueltos a los socios a más de un año.</t>
        </r>
        <r>
          <rPr>
            <sz val="8"/>
            <color indexed="81"/>
            <rFont val="Tahoma"/>
            <family val="2"/>
          </rPr>
          <t xml:space="preserve">
</t>
        </r>
      </text>
    </comment>
    <comment ref="C120" authorId="0" shapeId="0" xr:uid="{00000000-0006-0000-0400-000029000000}">
      <text>
        <r>
          <rPr>
            <b/>
            <sz val="8"/>
            <color indexed="81"/>
            <rFont val="Tahoma"/>
            <family val="2"/>
          </rPr>
          <t>Otros importes que deberán ser devueltos o pagos plazados a más de un año.</t>
        </r>
        <r>
          <rPr>
            <sz val="8"/>
            <color indexed="81"/>
            <rFont val="Tahoma"/>
            <family val="2"/>
          </rPr>
          <t xml:space="preserve">
</t>
        </r>
      </text>
    </comment>
    <comment ref="C125" authorId="0" shapeId="0" xr:uid="{00000000-0006-0000-0400-00002A000000}">
      <text>
        <r>
          <rPr>
            <b/>
            <sz val="8"/>
            <color indexed="81"/>
            <rFont val="Tahoma"/>
            <family val="2"/>
          </rPr>
          <t>Importe de los préstamos recibidos a devolver antes de un año</t>
        </r>
        <r>
          <rPr>
            <sz val="8"/>
            <color indexed="81"/>
            <rFont val="Tahoma"/>
            <family val="2"/>
          </rPr>
          <t xml:space="preserve">
</t>
        </r>
      </text>
    </comment>
    <comment ref="C130" authorId="0" shapeId="0" xr:uid="{00000000-0006-0000-0400-00002B000000}">
      <text>
        <r>
          <rPr>
            <b/>
            <sz val="8"/>
            <color indexed="81"/>
            <rFont val="Tahoma"/>
            <family val="2"/>
          </rPr>
          <t>Importe de los pagos aplazados a proveedores.</t>
        </r>
        <r>
          <rPr>
            <sz val="8"/>
            <color indexed="81"/>
            <rFont val="Tahoma"/>
            <family val="2"/>
          </rPr>
          <t xml:space="preserve">
</t>
        </r>
      </text>
    </comment>
    <comment ref="C136" authorId="0" shapeId="0" xr:uid="{00000000-0006-0000-0400-00002C000000}">
      <text>
        <r>
          <rPr>
            <b/>
            <sz val="8"/>
            <color indexed="81"/>
            <rFont val="Tahoma"/>
            <family val="2"/>
          </rPr>
          <t>Importes que deberán ser devueltos a los socios antes de un año.</t>
        </r>
        <r>
          <rPr>
            <sz val="8"/>
            <color indexed="81"/>
            <rFont val="Tahoma"/>
            <family val="2"/>
          </rPr>
          <t xml:space="preserve">
</t>
        </r>
      </text>
    </comment>
    <comment ref="C137" authorId="0" shapeId="0" xr:uid="{00000000-0006-0000-0400-00002D000000}">
      <text>
        <r>
          <rPr>
            <b/>
            <sz val="8"/>
            <color indexed="81"/>
            <rFont val="Tahoma"/>
            <family val="2"/>
          </rPr>
          <t>Otros importes que deberán ser devueltos o pagos plazados a menos de un año.</t>
        </r>
        <r>
          <rPr>
            <sz val="8"/>
            <color indexed="81"/>
            <rFont val="Tahoma"/>
            <family val="2"/>
          </rPr>
          <t xml:space="preserve">
</t>
        </r>
      </text>
    </comment>
    <comment ref="D143" authorId="0" shapeId="0" xr:uid="{00000000-0006-0000-0400-00002E000000}">
      <text>
        <r>
          <rPr>
            <b/>
            <sz val="8"/>
            <color indexed="81"/>
            <rFont val="Tahoma"/>
            <family val="2"/>
          </rPr>
          <t xml:space="preserve">Si esta cifra es distinta de cero, quiere decir que no cuenta con suficientes recursos para iniciar su actividad.
</t>
        </r>
      </text>
    </comment>
    <comment ref="D145" authorId="3" shapeId="0" xr:uid="{00000000-0006-0000-0400-00002F000000}">
      <text>
        <r>
          <rPr>
            <b/>
            <sz val="8"/>
            <color indexed="81"/>
            <rFont val="Tahoma"/>
            <family val="2"/>
          </rPr>
          <t xml:space="preserve">Si esta cifra es distinta de cero, quiere decir que no cuenta con suficiente efectivo para atender sus pagos iniciales.
Consulte además la Cuenta de Tesorería para verificar que mantiene suficiente liquidez para atender sus pagos en todo momento.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JM</author>
    <author>Jorge Muñoz</author>
  </authors>
  <commentList>
    <comment ref="B11" authorId="0" shapeId="0" xr:uid="{00000000-0006-0000-0500-000001000000}">
      <text>
        <r>
          <rPr>
            <b/>
            <sz val="8"/>
            <color indexed="81"/>
            <rFont val="Tahoma"/>
            <family val="2"/>
          </rPr>
          <t xml:space="preserve">Estos gastos  son todos aquellos (personal, alquileres, informática, luz, seguridad, comunicaciones, etc.) que no están imputados directamente a la venta de productos o servicios y que se producen independientemente de que dicha venta se realice o no.
</t>
        </r>
        <r>
          <rPr>
            <sz val="8"/>
            <color indexed="81"/>
            <rFont val="Tahoma"/>
            <family val="2"/>
          </rPr>
          <t xml:space="preserve">
</t>
        </r>
      </text>
    </comment>
    <comment ref="B12" authorId="1" shapeId="0" xr:uid="{00000000-0006-0000-0500-000002000000}">
      <text>
        <r>
          <rPr>
            <b/>
            <sz val="8"/>
            <color indexed="81"/>
            <rFont val="Tahoma"/>
            <family val="2"/>
          </rPr>
          <t>Indique el total de gastos  incluyendo:  Seguridad Social, beneficios sociales, etc.</t>
        </r>
        <r>
          <rPr>
            <sz val="8"/>
            <color indexed="81"/>
            <rFont val="Tahoma"/>
            <family val="2"/>
          </rPr>
          <t xml:space="preserve">
</t>
        </r>
      </text>
    </comment>
    <comment ref="B52" authorId="1" shapeId="0" xr:uid="{00000000-0006-0000-0500-000003000000}">
      <text>
        <r>
          <rPr>
            <b/>
            <sz val="8"/>
            <color indexed="81"/>
            <rFont val="Tahoma"/>
            <family val="2"/>
          </rPr>
          <t>Los ingresos financieros se originan por inversiones en acciones, títulos de renta fija, préstamos concedidos por la compañía, etc.</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JML</author>
  </authors>
  <commentList>
    <comment ref="D109" authorId="0" shapeId="0" xr:uid="{00000000-0006-0000-0600-000001000000}">
      <text>
        <r>
          <rPr>
            <b/>
            <sz val="9"/>
            <color indexed="81"/>
            <rFont val="Tahoma"/>
            <family val="2"/>
          </rPr>
          <t xml:space="preserve">El importe incluye el IVA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JML</author>
    <author>JM</author>
    <author>Jorge Muñoz</author>
  </authors>
  <commentList>
    <comment ref="C40" authorId="0" shapeId="0" xr:uid="{00000000-0006-0000-0700-000001000000}">
      <text>
        <r>
          <rPr>
            <b/>
            <sz val="9"/>
            <color indexed="81"/>
            <rFont val="Tahoma"/>
            <family val="2"/>
          </rPr>
          <t xml:space="preserve">Beneficio neto + Amortizaciones + Provisiones
</t>
        </r>
      </text>
    </comment>
    <comment ref="C48" authorId="0" shapeId="0" xr:uid="{00000000-0006-0000-0700-000002000000}">
      <text>
        <r>
          <rPr>
            <b/>
            <sz val="9"/>
            <color indexed="81"/>
            <rFont val="Tahoma"/>
            <family val="2"/>
          </rPr>
          <t>Resultado antes de: intereses, impuestos, depreciaciones y amortizaciones productivas.</t>
        </r>
        <r>
          <rPr>
            <sz val="9"/>
            <color indexed="81"/>
            <rFont val="Tahoma"/>
            <family val="2"/>
          </rPr>
          <t xml:space="preserve">
</t>
        </r>
      </text>
    </comment>
    <comment ref="C80" authorId="1" shapeId="0" xr:uid="{00000000-0006-0000-0700-000003000000}">
      <text>
        <r>
          <rPr>
            <b/>
            <sz val="8"/>
            <color indexed="81"/>
            <rFont val="Tahoma"/>
            <family val="2"/>
          </rPr>
          <t>Incluye el IVA de las cuotas por arrendamiento financiero.</t>
        </r>
        <r>
          <rPr>
            <sz val="8"/>
            <color indexed="81"/>
            <rFont val="Tahoma"/>
            <family val="2"/>
          </rPr>
          <t xml:space="preserve">
</t>
        </r>
      </text>
    </comment>
    <comment ref="Q110" authorId="2" shapeId="0" xr:uid="{00000000-0006-0000-0700-000004000000}">
      <text>
        <r>
          <rPr>
            <b/>
            <sz val="8"/>
            <color indexed="81"/>
            <rFont val="Tahoma"/>
            <family val="2"/>
          </rPr>
          <t>Subvenciones y Donaciones</t>
        </r>
        <r>
          <rPr>
            <sz val="8"/>
            <color indexed="81"/>
            <rFont val="Tahoma"/>
            <family val="2"/>
          </rPr>
          <t xml:space="preserve">
</t>
        </r>
      </text>
    </comment>
    <comment ref="P188" authorId="2" shapeId="0" xr:uid="{00000000-0006-0000-0700-000005000000}">
      <text>
        <r>
          <rPr>
            <b/>
            <sz val="8"/>
            <color indexed="81"/>
            <rFont val="Tahoma"/>
            <family val="2"/>
          </rPr>
          <t xml:space="preserve">Subvenciones y Donaciones
</t>
        </r>
      </text>
    </comment>
    <comment ref="P266" authorId="2" shapeId="0" xr:uid="{00000000-0006-0000-0700-000006000000}">
      <text>
        <r>
          <rPr>
            <b/>
            <sz val="8"/>
            <color indexed="81"/>
            <rFont val="Tahoma"/>
            <family val="2"/>
          </rPr>
          <t xml:space="preserve">Subvenciones y Donaciones
</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Jorge Muñoz</author>
    <author>jorge</author>
    <author>JM</author>
  </authors>
  <commentList>
    <comment ref="C10" authorId="0" shapeId="0" xr:uid="{00000000-0006-0000-0800-000001000000}">
      <text>
        <r>
          <rPr>
            <sz val="8"/>
            <color indexed="81"/>
            <rFont val="Tahoma"/>
            <family val="2"/>
          </rPr>
          <t>No se consideran las Aportaciones No Dinerarias, ya que no representan efectivo.</t>
        </r>
      </text>
    </comment>
    <comment ref="C16" authorId="1" shapeId="0" xr:uid="{00000000-0006-0000-0800-000002000000}">
      <text>
        <r>
          <rPr>
            <sz val="8"/>
            <color indexed="81"/>
            <rFont val="Tahoma"/>
            <family val="2"/>
          </rPr>
          <t>No se consideran las aportaciones de mercancías de los socios, ya que no suponen movimiento de efectivo, excepto el pago del IVA.</t>
        </r>
      </text>
    </comment>
    <comment ref="C26" authorId="0" shapeId="0" xr:uid="{00000000-0006-0000-0800-000003000000}">
      <text>
        <r>
          <rPr>
            <sz val="8"/>
            <color indexed="81"/>
            <rFont val="Tahoma"/>
            <family val="2"/>
          </rPr>
          <t>No se consideran las Aportaciones No Dinerarias, ni los bienes adquiridos en régimen de Arrendamiento Financiero ya que no suponen movimiento de efectivo.</t>
        </r>
      </text>
    </comment>
    <comment ref="O47" authorId="0" shapeId="0" xr:uid="{00000000-0006-0000-0800-000004000000}">
      <text>
        <r>
          <rPr>
            <b/>
            <sz val="8"/>
            <color indexed="81"/>
            <rFont val="Tahoma"/>
            <family val="2"/>
          </rPr>
          <t>Aportaciones al capital de los socios, donaciones y subvenciones</t>
        </r>
        <r>
          <rPr>
            <sz val="8"/>
            <color indexed="81"/>
            <rFont val="Tahoma"/>
            <family val="2"/>
          </rPr>
          <t xml:space="preserve">
</t>
        </r>
      </text>
    </comment>
    <comment ref="O63" authorId="0" shapeId="0" xr:uid="{00000000-0006-0000-0800-000005000000}">
      <text>
        <r>
          <rPr>
            <b/>
            <sz val="8"/>
            <color indexed="81"/>
            <rFont val="Tahoma"/>
            <family val="2"/>
          </rPr>
          <t>Inversiones realizadas a lo largo del 1er. año</t>
        </r>
        <r>
          <rPr>
            <sz val="8"/>
            <color indexed="81"/>
            <rFont val="Tahoma"/>
            <family val="2"/>
          </rPr>
          <t xml:space="preserve">
No figuran los bienes adquiridos bajo la modalidad de arrendamiento financiero porque suponen un pago aplazado, ni las aportaciones no dinerarias de los socios, ya que no implican movimiento de efectivo.</t>
        </r>
      </text>
    </comment>
    <comment ref="B65" authorId="2" shapeId="0" xr:uid="{00000000-0006-0000-0800-000006000000}">
      <text>
        <r>
          <rPr>
            <sz val="8"/>
            <color indexed="81"/>
            <rFont val="Tahoma"/>
            <family val="2"/>
          </rPr>
          <t>El IVA se liquida los meses de enero, abril, julio y octubre.</t>
        </r>
        <r>
          <rPr>
            <sz val="8"/>
            <color indexed="81"/>
            <rFont val="Tahoma"/>
            <family val="2"/>
          </rPr>
          <t xml:space="preserve">
</t>
        </r>
      </text>
    </comment>
    <comment ref="B66" authorId="2" shapeId="0" xr:uid="{00000000-0006-0000-0800-000007000000}">
      <text>
        <r>
          <rPr>
            <sz val="8"/>
            <color indexed="81"/>
            <rFont val="Tahoma"/>
            <family val="2"/>
          </rPr>
          <t>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t>
        </r>
        <r>
          <rPr>
            <sz val="8"/>
            <color indexed="81"/>
            <rFont val="Tahoma"/>
            <family val="2"/>
          </rPr>
          <t xml:space="preserve">
</t>
        </r>
      </text>
    </comment>
    <comment ref="B69" authorId="0" shapeId="0" xr:uid="{00000000-0006-0000-0800-000008000000}">
      <text>
        <r>
          <rPr>
            <b/>
            <sz val="8"/>
            <color indexed="81"/>
            <rFont val="Tahoma"/>
            <family val="2"/>
          </rPr>
          <t>Los beneficios del 1er año se distribuyen el 2º y los del  2º el 3º</t>
        </r>
        <r>
          <rPr>
            <sz val="8"/>
            <color indexed="81"/>
            <rFont val="Tahoma"/>
            <family val="2"/>
          </rPr>
          <t xml:space="preserve">
</t>
        </r>
      </text>
    </comment>
    <comment ref="O83" authorId="0" shapeId="0" xr:uid="{00000000-0006-0000-0800-000009000000}">
      <text>
        <r>
          <rPr>
            <sz val="8"/>
            <color indexed="81"/>
            <rFont val="Tahoma"/>
            <family val="2"/>
          </rPr>
          <t xml:space="preserve">Aportaciones al capital de los socios, donaciones y subvenciones
</t>
        </r>
      </text>
    </comment>
    <comment ref="O99" authorId="2" shapeId="0" xr:uid="{00000000-0006-0000-0800-00000A000000}">
      <text>
        <r>
          <rPr>
            <b/>
            <sz val="8"/>
            <color indexed="81"/>
            <rFont val="Tahoma"/>
            <family val="2"/>
          </rPr>
          <t xml:space="preserve">Inversiones realizadas a lo largo del 2º año
</t>
        </r>
        <r>
          <rPr>
            <sz val="8"/>
            <color indexed="81"/>
            <rFont val="Tahoma"/>
            <family val="2"/>
          </rPr>
          <t>No figuran los bienes adquiridos bajo la modalidad de arrendamiento financiero porque suponen un pago aplazado, ni las aportaciones no dinerarias de los socios, ya que no implican movimiento de efectivo.</t>
        </r>
        <r>
          <rPr>
            <sz val="8"/>
            <color indexed="81"/>
            <rFont val="Tahoma"/>
            <family val="2"/>
          </rPr>
          <t xml:space="preserve">
</t>
        </r>
      </text>
    </comment>
    <comment ref="B101" authorId="2" shapeId="0" xr:uid="{00000000-0006-0000-0800-00000B000000}">
      <text>
        <r>
          <rPr>
            <b/>
            <sz val="8"/>
            <color indexed="81"/>
            <rFont val="Tahoma"/>
            <family val="2"/>
          </rPr>
          <t>El IVA se liquida los meses de enero, abril, julio y octubre.</t>
        </r>
        <r>
          <rPr>
            <sz val="8"/>
            <color indexed="81"/>
            <rFont val="Tahoma"/>
            <family val="2"/>
          </rPr>
          <t xml:space="preserve">
</t>
        </r>
      </text>
    </comment>
    <comment ref="B102" authorId="2" shapeId="0" xr:uid="{00000000-0006-0000-0800-00000C000000}">
      <text>
        <r>
          <rPr>
            <b/>
            <sz val="8"/>
            <color indexed="81"/>
            <rFont val="Tahoma"/>
            <family val="2"/>
          </rPr>
          <t>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t>
        </r>
        <r>
          <rPr>
            <sz val="8"/>
            <color indexed="81"/>
            <rFont val="Tahoma"/>
            <family val="2"/>
          </rPr>
          <t xml:space="preserve">
</t>
        </r>
      </text>
    </comment>
    <comment ref="B105" authorId="0" shapeId="0" xr:uid="{00000000-0006-0000-0800-00000D000000}">
      <text>
        <r>
          <rPr>
            <b/>
            <sz val="8"/>
            <color indexed="81"/>
            <rFont val="Tahoma"/>
            <family val="2"/>
          </rPr>
          <t>Los beneficios del 1er año se distribuyen el 2º y los del  2º el 3º</t>
        </r>
        <r>
          <rPr>
            <sz val="8"/>
            <color indexed="81"/>
            <rFont val="Tahoma"/>
            <family val="2"/>
          </rPr>
          <t xml:space="preserve">
</t>
        </r>
      </text>
    </comment>
    <comment ref="C105" authorId="0" shapeId="0" xr:uid="{00000000-0006-0000-0800-00000E000000}">
      <text>
        <r>
          <rPr>
            <sz val="8"/>
            <color indexed="81"/>
            <rFont val="Tahoma"/>
            <family val="2"/>
          </rPr>
          <t xml:space="preserve">Distribución de beneficios del 1er año
</t>
        </r>
      </text>
    </comment>
    <comment ref="O119" authorId="0" shapeId="0" xr:uid="{00000000-0006-0000-0800-00000F000000}">
      <text>
        <r>
          <rPr>
            <b/>
            <sz val="8"/>
            <color indexed="81"/>
            <rFont val="Tahoma"/>
            <family val="2"/>
          </rPr>
          <t>Aportaciones al capital de los socios, donaciones y subvenciones</t>
        </r>
        <r>
          <rPr>
            <sz val="8"/>
            <color indexed="81"/>
            <rFont val="Tahoma"/>
            <family val="2"/>
          </rPr>
          <t xml:space="preserve">
</t>
        </r>
      </text>
    </comment>
    <comment ref="O135" authorId="0" shapeId="0" xr:uid="{00000000-0006-0000-0800-000010000000}">
      <text>
        <r>
          <rPr>
            <b/>
            <sz val="8"/>
            <color indexed="81"/>
            <rFont val="Tahoma"/>
            <family val="2"/>
          </rPr>
          <t>Inversiones realizadas a lo largo del 3er. año</t>
        </r>
        <r>
          <rPr>
            <sz val="8"/>
            <color indexed="81"/>
            <rFont val="Tahoma"/>
            <family val="2"/>
          </rPr>
          <t xml:space="preserve">
No figuran los bienes adquiridos bajo la modalidad de arrendamiento financiero porque suponen un pago aplazado, ni las aportaciones no dinerarias de los socios, ya que no implican movimiento de efectivo.</t>
        </r>
      </text>
    </comment>
    <comment ref="B137" authorId="2" shapeId="0" xr:uid="{00000000-0006-0000-0800-000011000000}">
      <text>
        <r>
          <rPr>
            <b/>
            <sz val="8"/>
            <color indexed="81"/>
            <rFont val="Tahoma"/>
            <family val="2"/>
          </rPr>
          <t>El IVA se liquida los meses de enero, abril, julio y octubre.</t>
        </r>
        <r>
          <rPr>
            <sz val="8"/>
            <color indexed="81"/>
            <rFont val="Tahoma"/>
            <family val="2"/>
          </rPr>
          <t xml:space="preserve">
</t>
        </r>
      </text>
    </comment>
    <comment ref="B138" authorId="2" shapeId="0" xr:uid="{00000000-0006-0000-0800-000012000000}">
      <text>
        <r>
          <rPr>
            <b/>
            <sz val="8"/>
            <color indexed="81"/>
            <rFont val="Tahoma"/>
            <family val="2"/>
          </rPr>
          <t>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t>
        </r>
        <r>
          <rPr>
            <sz val="8"/>
            <color indexed="81"/>
            <rFont val="Tahoma"/>
            <family val="2"/>
          </rPr>
          <t xml:space="preserve">
</t>
        </r>
      </text>
    </comment>
    <comment ref="B141" authorId="0" shapeId="0" xr:uid="{00000000-0006-0000-0800-000013000000}">
      <text>
        <r>
          <rPr>
            <b/>
            <sz val="8"/>
            <color indexed="81"/>
            <rFont val="Tahoma"/>
            <family val="2"/>
          </rPr>
          <t>Los beneficios del 1er año se distribuyen el 2º y los del  2º el 3º</t>
        </r>
      </text>
    </comment>
    <comment ref="C141" authorId="0" shapeId="0" xr:uid="{00000000-0006-0000-0800-000014000000}">
      <text>
        <r>
          <rPr>
            <b/>
            <sz val="8"/>
            <color indexed="81"/>
            <rFont val="Tahoma"/>
            <family val="2"/>
          </rPr>
          <t>Distribución de beneficios del 2º año</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Jorge Muñoz</author>
    <author>jorge</author>
    <author>JM</author>
    <author>JML</author>
  </authors>
  <commentList>
    <comment ref="D79" authorId="0" shapeId="0" xr:uid="{00000000-0006-0000-0900-000001000000}">
      <text>
        <r>
          <rPr>
            <b/>
            <sz val="8"/>
            <color indexed="81"/>
            <rFont val="Tahoma"/>
            <family val="2"/>
          </rPr>
          <t>Beneficio neto x 100 / Recursos propios. (valor de referencia: lo más elevado posible)</t>
        </r>
        <r>
          <rPr>
            <sz val="8"/>
            <color indexed="81"/>
            <rFont val="Tahoma"/>
            <family val="2"/>
          </rPr>
          <t xml:space="preserve">
</t>
        </r>
      </text>
    </comment>
    <comment ref="D80" authorId="0" shapeId="0" xr:uid="{00000000-0006-0000-0900-000002000000}">
      <text>
        <r>
          <rPr>
            <b/>
            <sz val="8"/>
            <color indexed="81"/>
            <rFont val="Tahoma"/>
            <family val="2"/>
          </rPr>
          <t>Beneficios antes de intereses e impuestos x 100 / Activo.
(valor de referencia: lo más elevado posible)</t>
        </r>
        <r>
          <rPr>
            <sz val="8"/>
            <color indexed="81"/>
            <rFont val="Tahoma"/>
            <family val="2"/>
          </rPr>
          <t xml:space="preserve">
</t>
        </r>
      </text>
    </comment>
    <comment ref="D81" authorId="0" shapeId="0" xr:uid="{00000000-0006-0000-0900-000003000000}">
      <text>
        <r>
          <rPr>
            <b/>
            <sz val="8"/>
            <color indexed="81"/>
            <rFont val="Tahoma"/>
            <family val="2"/>
          </rPr>
          <t>Fondo de maniobra / Exigible a corto plazo  (valor de referencia Entre 0,5 y 1)</t>
        </r>
        <r>
          <rPr>
            <sz val="8"/>
            <color indexed="81"/>
            <rFont val="Tahoma"/>
            <family val="2"/>
          </rPr>
          <t xml:space="preserve">
</t>
        </r>
      </text>
    </comment>
    <comment ref="D82" authorId="0" shapeId="0" xr:uid="{00000000-0006-0000-0900-000004000000}">
      <text>
        <r>
          <rPr>
            <b/>
            <sz val="8"/>
            <color indexed="81"/>
            <rFont val="Tahoma"/>
            <family val="2"/>
          </rPr>
          <t>Disponible / Exigible a corto plazo 
(valor de referencia: 0,3)</t>
        </r>
        <r>
          <rPr>
            <sz val="8"/>
            <color indexed="81"/>
            <rFont val="Tahoma"/>
            <family val="2"/>
          </rPr>
          <t xml:space="preserve">
</t>
        </r>
      </text>
    </comment>
    <comment ref="D83" authorId="0" shapeId="0" xr:uid="{00000000-0006-0000-0900-000005000000}">
      <text>
        <r>
          <rPr>
            <b/>
            <sz val="8"/>
            <color indexed="81"/>
            <rFont val="Tahoma"/>
            <family val="2"/>
          </rPr>
          <t>Inmovilizado neto / Exigible a corto + Exigible a largo (valor de referencia: Superior a 1)</t>
        </r>
        <r>
          <rPr>
            <sz val="8"/>
            <color indexed="81"/>
            <rFont val="Tahoma"/>
            <family val="2"/>
          </rPr>
          <t xml:space="preserve">
</t>
        </r>
      </text>
    </comment>
    <comment ref="D84" authorId="0" shapeId="0" xr:uid="{00000000-0006-0000-0900-000006000000}">
      <text>
        <r>
          <rPr>
            <b/>
            <sz val="8"/>
            <color indexed="81"/>
            <rFont val="Tahoma"/>
            <family val="2"/>
          </rPr>
          <t>Gastos financieros / Ventas 
(valor de referencia: inferior a 0,02)</t>
        </r>
        <r>
          <rPr>
            <sz val="8"/>
            <color indexed="81"/>
            <rFont val="Tahoma"/>
            <family val="2"/>
          </rPr>
          <t xml:space="preserve">
</t>
        </r>
      </text>
    </comment>
    <comment ref="D85" authorId="0" shapeId="0" xr:uid="{00000000-0006-0000-0900-000007000000}">
      <text>
        <r>
          <rPr>
            <b/>
            <sz val="8"/>
            <color indexed="81"/>
            <rFont val="Tahoma"/>
            <family val="2"/>
          </rPr>
          <t>Beneficios antes de impuestos / Bfº antes de interesese e impuestos) x (Activo / Recursos propios) 
Valor de referencia: 1 (indiferente el endeudamiento) o superior.</t>
        </r>
        <r>
          <rPr>
            <sz val="8"/>
            <color indexed="81"/>
            <rFont val="Tahoma"/>
            <family val="2"/>
          </rPr>
          <t xml:space="preserve">
</t>
        </r>
      </text>
    </comment>
    <comment ref="D86" authorId="0" shapeId="0" xr:uid="{00000000-0006-0000-0900-000008000000}">
      <text>
        <r>
          <rPr>
            <b/>
            <sz val="8"/>
            <color indexed="81"/>
            <rFont val="Tahoma"/>
            <family val="2"/>
          </rPr>
          <t>Recursos exigibles / Total pasivo 
(valor de referencia : &gt;0. Si fuera excesivo debilitaría la estructura financiera)</t>
        </r>
        <r>
          <rPr>
            <sz val="8"/>
            <color indexed="81"/>
            <rFont val="Tahoma"/>
            <family val="2"/>
          </rPr>
          <t xml:space="preserve">
</t>
        </r>
      </text>
    </comment>
    <comment ref="D87" authorId="0" shapeId="0" xr:uid="{00000000-0006-0000-0900-000009000000}">
      <text>
        <r>
          <rPr>
            <b/>
            <sz val="8"/>
            <color indexed="81"/>
            <rFont val="Tahoma"/>
            <family val="2"/>
          </rPr>
          <t>Ventas / Activo Circulante 
(valor de referencia: lo más elevado posible)</t>
        </r>
        <r>
          <rPr>
            <sz val="8"/>
            <color indexed="81"/>
            <rFont val="Tahoma"/>
            <family val="2"/>
          </rPr>
          <t xml:space="preserve">
</t>
        </r>
      </text>
    </comment>
    <comment ref="D88" authorId="0" shapeId="0" xr:uid="{00000000-0006-0000-0900-00000A000000}">
      <text>
        <r>
          <rPr>
            <b/>
            <sz val="8"/>
            <color indexed="81"/>
            <rFont val="Tahoma"/>
            <family val="2"/>
          </rPr>
          <t>Aprovisionamietos (coste de las mercancías)/ Existencias
(valor de referencia: lo más elevado posible)</t>
        </r>
        <r>
          <rPr>
            <sz val="8"/>
            <color indexed="81"/>
            <rFont val="Tahoma"/>
            <family val="2"/>
          </rPr>
          <t xml:space="preserve">
</t>
        </r>
      </text>
    </comment>
    <comment ref="D89" authorId="0" shapeId="0" xr:uid="{00000000-0006-0000-0900-00000B000000}">
      <text>
        <r>
          <rPr>
            <b/>
            <sz val="8"/>
            <color indexed="81"/>
            <rFont val="Tahoma"/>
            <family val="2"/>
          </rPr>
          <t>Gastos Fijos/1-(Costes de las ventas/Ventas).- Ventas mínimas para cubrir gastos.</t>
        </r>
        <r>
          <rPr>
            <sz val="8"/>
            <color indexed="81"/>
            <rFont val="Tahoma"/>
            <family val="2"/>
          </rPr>
          <t xml:space="preserve">
</t>
        </r>
      </text>
    </comment>
    <comment ref="D90" authorId="1" shapeId="0" xr:uid="{00000000-0006-0000-0900-00000C000000}">
      <text>
        <r>
          <rPr>
            <b/>
            <sz val="8"/>
            <color indexed="81"/>
            <rFont val="Tahoma"/>
            <family val="2"/>
          </rPr>
          <t xml:space="preserve"> = Pasivo / Activo
Valor óptimo: 0,4 a 0,5</t>
        </r>
        <r>
          <rPr>
            <sz val="8"/>
            <color indexed="81"/>
            <rFont val="Tahoma"/>
            <family val="2"/>
          </rPr>
          <t xml:space="preserve">
Si reducido, síntoma de mala capitalización. Si muy elevado, puede ser difícil rentabilizar el patrimonio</t>
        </r>
      </text>
    </comment>
    <comment ref="D92" authorId="1" shapeId="0" xr:uid="{00000000-0006-0000-0900-00000D000000}">
      <text>
        <r>
          <rPr>
            <b/>
            <sz val="8"/>
            <color indexed="81"/>
            <rFont val="Tahoma"/>
            <family val="2"/>
          </rPr>
          <t xml:space="preserve">= Realizable + Tesorería/ Pasivo corriente.
 Valor óptimo: Alrededor de 1
</t>
        </r>
        <r>
          <rPr>
            <sz val="8"/>
            <color indexed="81"/>
            <rFont val="Tahoma"/>
            <family val="2"/>
          </rPr>
          <t>Este ratio mide las posibilidades de hacer frente a las obligaciones de pago a corto plazo. 
Si reducido, síntoma de liquidez insuficiente. Si elevado utilización mejorable del realizable y tesorería.</t>
        </r>
        <r>
          <rPr>
            <b/>
            <sz val="8"/>
            <color indexed="81"/>
            <rFont val="Tahoma"/>
            <family val="2"/>
          </rPr>
          <t xml:space="preserve">
</t>
        </r>
        <r>
          <rPr>
            <sz val="8"/>
            <color indexed="81"/>
            <rFont val="Tahoma"/>
            <family val="2"/>
          </rPr>
          <t xml:space="preserve">
El realizable incluye todos los activos corrientes menos existencias y tesorería
</t>
        </r>
      </text>
    </comment>
    <comment ref="D93" authorId="1" shapeId="0" xr:uid="{00000000-0006-0000-0900-00000E000000}">
      <text>
        <r>
          <rPr>
            <b/>
            <sz val="8"/>
            <color indexed="81"/>
            <rFont val="Tahoma"/>
            <family val="2"/>
          </rPr>
          <t>= Activo corriente / Pasivo corriente.
Valor óptimo: mayor de 1,5 y menor de 2</t>
        </r>
        <r>
          <rPr>
            <sz val="8"/>
            <color indexed="81"/>
            <rFont val="Tahoma"/>
            <family val="2"/>
          </rPr>
          <t xml:space="preserve">
Si reducido, síntoma de liquidez insuficiente. Si elevado, utilización mejorable del realizable y la tesorería.</t>
        </r>
      </text>
    </comment>
    <comment ref="D96" authorId="2" shapeId="0" xr:uid="{00000000-0006-0000-0900-00000F000000}">
      <text>
        <r>
          <rPr>
            <b/>
            <sz val="8"/>
            <color indexed="81"/>
            <rFont val="Tahoma"/>
            <family val="2"/>
          </rPr>
          <t xml:space="preserve">=(Activo Circulante-Pasivo Circulante / Pasivo Fijo) x 100
</t>
        </r>
        <r>
          <rPr>
            <sz val="8"/>
            <color indexed="81"/>
            <rFont val="Tahoma"/>
            <family val="2"/>
          </rPr>
          <t xml:space="preserve">El fondo de maniobra se define como los recursos financieros permanentes necesarios para poder llevar a cabo con normalidad las operaciones de naturaleza corriente, y se calcula como la  diferencia entre el activo circulante  y los Acreedores a corto plazo.
Un valor negativo supone que parte del inmovilizado se financia con deudas a corto plazo, lo que pondría a la empresa en una situación difícil.
A efectos de poder realizar comparaciones entre sectores y dimensiones se ha definido el RFM como el porcentaje que representa el fondo respecto al pasivo fijo.
</t>
        </r>
      </text>
    </comment>
    <comment ref="D97" authorId="2" shapeId="0" xr:uid="{00000000-0006-0000-0900-000010000000}">
      <text>
        <r>
          <rPr>
            <b/>
            <sz val="8"/>
            <color indexed="81"/>
            <rFont val="Tahoma"/>
            <family val="2"/>
          </rPr>
          <t xml:space="preserve">=(Recursos ajenos / Recursos propios) x 100
Valor de referencia entre 40 y 60
</t>
        </r>
        <r>
          <rPr>
            <sz val="8"/>
            <color indexed="81"/>
            <rFont val="Tahoma"/>
            <family val="2"/>
          </rPr>
          <t>Por encima indica dificultades para atender pagos futuros
Relaciona las deudas totales de la empresa con los recursos propios  y es el inverso al ratio de autonomía financiera.
La tasa de endeudamiento es elevada en colectivos que acuden mayoritariamente a fuentes externas de financiación de las inversiones.
Este ratio y el de autonomía financiera presentan valores negativos en aquellos sectores con recursos propios netos negativos.</t>
        </r>
        <r>
          <rPr>
            <b/>
            <sz val="8"/>
            <color indexed="81"/>
            <rFont val="Tahoma"/>
            <family val="2"/>
          </rPr>
          <t xml:space="preserve">
</t>
        </r>
      </text>
    </comment>
    <comment ref="D98" authorId="0" shapeId="0" xr:uid="{00000000-0006-0000-0900-000011000000}">
      <text>
        <r>
          <rPr>
            <b/>
            <sz val="8"/>
            <color indexed="81"/>
            <rFont val="Tahoma"/>
            <family val="2"/>
          </rPr>
          <t>Recursos propios / Exigible a corto + Exigible a largo (valor de referencia: Entre 0,7 y 1,5)</t>
        </r>
        <r>
          <rPr>
            <sz val="8"/>
            <color indexed="81"/>
            <rFont val="Tahoma"/>
            <family val="2"/>
          </rPr>
          <t xml:space="preserve">
</t>
        </r>
      </text>
    </comment>
    <comment ref="D99" authorId="3" shapeId="0" xr:uid="{00000000-0006-0000-0900-000012000000}">
      <text>
        <r>
          <rPr>
            <b/>
            <sz val="9"/>
            <color indexed="81"/>
            <rFont val="Tahoma"/>
            <family val="2"/>
          </rPr>
          <t xml:space="preserve">=(Activo corriente+Activo no corriente)/(Pasivo Corriente+Pasivo no corriente)
Lo ideal es que el valor de este ratio sea superior a 1,5 
</t>
        </r>
        <r>
          <rPr>
            <sz val="9"/>
            <color indexed="81"/>
            <rFont val="Tahoma"/>
            <family val="2"/>
          </rPr>
          <t xml:space="preserve">Ratio que mide la capacidad de una empresa para hacer frente sus obligaciones de pago.
Este ratio lo podemos encontrar tanto de forma agregada, activo total entre pasivo total, o de forma desagregada esto es en función del activo y pasivo corriente o no corriente. (Ver Ratio de Liquidez)
Obviamente este es uno de los ratios que las entidades financieras tienen en consideración a la hora de analizar las operaciones de financiación que solicitan sus clientes.
</t>
        </r>
      </text>
    </comment>
    <comment ref="D100" authorId="1" shapeId="0" xr:uid="{00000000-0006-0000-0900-000013000000}">
      <text>
        <r>
          <rPr>
            <b/>
            <sz val="8"/>
            <color indexed="81"/>
            <rFont val="Tahoma"/>
            <family val="2"/>
          </rPr>
          <t xml:space="preserve">= Pasivo corriente / Pasivo total
Valor óptimo: Lo más reducido posible.
</t>
        </r>
        <r>
          <rPr>
            <sz val="8"/>
            <color indexed="81"/>
            <rFont val="Tahoma"/>
            <family val="2"/>
          </rPr>
          <t>Si elevado puede indicar dificultad para atender vencimientos  a corto plazo.</t>
        </r>
        <r>
          <rPr>
            <sz val="8"/>
            <color indexed="81"/>
            <rFont val="Tahoma"/>
            <family val="2"/>
          </rPr>
          <t xml:space="preserve">
</t>
        </r>
      </text>
    </comment>
    <comment ref="D101" authorId="1" shapeId="0" xr:uid="{00000000-0006-0000-0900-000014000000}">
      <text>
        <r>
          <rPr>
            <b/>
            <sz val="8"/>
            <color indexed="81"/>
            <rFont val="Tahoma"/>
            <family val="2"/>
          </rPr>
          <t xml:space="preserve">= Flujo de caja / Préstamos.
Valor óptimo:  Elevado
</t>
        </r>
        <r>
          <rPr>
            <sz val="8"/>
            <color indexed="81"/>
            <rFont val="Tahoma"/>
            <family val="2"/>
          </rPr>
          <t xml:space="preserve">Si es reducido puede indicar poca capacidad para devolver préstamos. En ocasiones conviene diferenciar el ratio entre prestamos a corto y largo plazo.
Flujo de caja = Beneficio neto + Amortizaciones.
Préstamos = deuda bancaria a corto y largo plazo.
</t>
        </r>
        <r>
          <rPr>
            <sz val="8"/>
            <color indexed="81"/>
            <rFont val="Tahoma"/>
            <family val="2"/>
          </rPr>
          <t xml:space="preserve">
</t>
        </r>
      </text>
    </comment>
    <comment ref="D102" authorId="1" shapeId="0" xr:uid="{00000000-0006-0000-0900-000015000000}">
      <text>
        <r>
          <rPr>
            <b/>
            <sz val="8"/>
            <color indexed="81"/>
            <rFont val="Tahoma"/>
            <family val="2"/>
          </rPr>
          <t xml:space="preserve">= Fondo de Maniobra / Activo corriente.
Valor óptimo: Lo más elevado posible.
</t>
        </r>
        <r>
          <rPr>
            <sz val="8"/>
            <color indexed="81"/>
            <rFont val="Tahoma"/>
            <family val="2"/>
          </rPr>
          <t xml:space="preserve">Indica la parte de activo corriente que queda financiada por capitales no exigibles (patrimonio neto) o exigibles a más de un año.
Conviene, si es posible, que cubra la mayor parte de las existencias.
Fondo de Maniobra = Patrimonio Neto + Pasivo no corriente – Inmovilizado total </t>
        </r>
      </text>
    </comment>
    <comment ref="D103" authorId="1" shapeId="0" xr:uid="{00000000-0006-0000-0900-000016000000}">
      <text>
        <r>
          <rPr>
            <b/>
            <sz val="8"/>
            <color indexed="81"/>
            <rFont val="Tahoma"/>
            <family val="2"/>
          </rPr>
          <t xml:space="preserve">= Existencias / Coste de ventas diario.
Valor óptimo: Lo más reducido posible.
</t>
        </r>
        <r>
          <rPr>
            <sz val="8"/>
            <color indexed="81"/>
            <rFont val="Tahoma"/>
            <family val="2"/>
          </rPr>
          <t xml:space="preserve">Permite juzgar el exceso o defecto de existencias, que puede ser producido  o no, por “un almacén desequilibrado” (con productos de poca venta).
Expresa las existencias en días venta .
Coste diario = Coste de Ventas / 365 
</t>
        </r>
        <r>
          <rPr>
            <sz val="8"/>
            <color indexed="81"/>
            <rFont val="Tahoma"/>
            <family val="2"/>
          </rPr>
          <t xml:space="preserve">
</t>
        </r>
      </text>
    </comment>
    <comment ref="D104" authorId="1" shapeId="0" xr:uid="{00000000-0006-0000-0900-000017000000}">
      <text>
        <r>
          <rPr>
            <b/>
            <sz val="8"/>
            <color indexed="81"/>
            <rFont val="Tahoma"/>
            <family val="2"/>
          </rPr>
          <t xml:space="preserve">= Proveedores / Clientes
Valor óptimo: Lo más elevado posible.
</t>
        </r>
        <r>
          <rPr>
            <sz val="8"/>
            <color indexed="81"/>
            <rFont val="Tahoma"/>
            <family val="2"/>
          </rPr>
          <t xml:space="preserve">¡La financiación de proveedores no tiene coste!
</t>
        </r>
      </text>
    </comment>
    <comment ref="D107" authorId="1" shapeId="0" xr:uid="{00000000-0006-0000-0900-000018000000}">
      <text>
        <r>
          <rPr>
            <b/>
            <sz val="8"/>
            <color indexed="81"/>
            <rFont val="Tahoma"/>
            <family val="2"/>
          </rPr>
          <t xml:space="preserve">= Gastos fijos / Margen bruto s.ventas
Valor óptimo: Lo más reducido posible
</t>
        </r>
        <r>
          <rPr>
            <sz val="8"/>
            <color indexed="81"/>
            <rFont val="Tahoma"/>
            <family val="2"/>
          </rPr>
          <t xml:space="preserve">Indica las ventas que hay que lograr para resultado cero. Menos venta supondría pérdidas, y más venta beneficios
</t>
        </r>
      </text>
    </comment>
    <comment ref="D108" authorId="2" shapeId="0" xr:uid="{00000000-0006-0000-0900-000019000000}">
      <text>
        <r>
          <rPr>
            <b/>
            <sz val="8"/>
            <color indexed="81"/>
            <rFont val="Tahoma"/>
            <family val="2"/>
          </rPr>
          <t>= (Valor añadido de la empresa/Producción)x100
Valor óptimo: Lo más elevado posible.</t>
        </r>
        <r>
          <rPr>
            <sz val="8"/>
            <color indexed="81"/>
            <rFont val="Tahoma"/>
            <family val="2"/>
          </rPr>
          <t xml:space="preserve">
Se define como el porcentaje que representa el valor añadido respecto a la producción y sintetiza, por tanto, la capacidad de generación de rentas por unidad de producto</t>
        </r>
      </text>
    </comment>
    <comment ref="D109" authorId="2" shapeId="0" xr:uid="{00000000-0006-0000-0900-00001A000000}">
      <text>
        <r>
          <rPr>
            <b/>
            <sz val="8"/>
            <color indexed="81"/>
            <rFont val="Tahoma"/>
            <family val="2"/>
          </rPr>
          <t>=(Gastos de personal/Valor añadido de la empresa) x 100
Valor óptimo: Lo más reducido posible.</t>
        </r>
        <r>
          <rPr>
            <sz val="8"/>
            <color indexed="81"/>
            <rFont val="Tahoma"/>
            <family val="2"/>
          </rPr>
          <t xml:space="preserve">
Es la proporción que los gastos de personal representan respecto al valor añadido y mide la participación del empleo asalariado en el reparto de la renta generada en la empresa. </t>
        </r>
      </text>
    </comment>
    <comment ref="D110" authorId="1" shapeId="0" xr:uid="{00000000-0006-0000-0900-00001B000000}">
      <text>
        <r>
          <rPr>
            <b/>
            <sz val="8"/>
            <color indexed="81"/>
            <rFont val="Tahoma"/>
            <family val="2"/>
          </rPr>
          <t xml:space="preserve">=Margen bruto / Ventas x100
Valor óptimo:  Positivo,  lo más elevado posible.
</t>
        </r>
        <r>
          <rPr>
            <sz val="8"/>
            <color indexed="81"/>
            <rFont val="Tahoma"/>
            <family val="2"/>
          </rPr>
          <t>El margen bruto obtenible depende en buena medida del sector y del grado de diferenciación del producto. Debe ser suficiente para dotar amortizaciones y provisiones, cubrir las cargas financieras, liquidar el impuesto sobre sociedades, dotar fondos de autofinanciación (reservas) y proporcionar una adecuada remuneración a los accionistas (dividendos).
Margen Bruto = Ventas – Coste de las ventas (coste directo variable)</t>
        </r>
        <r>
          <rPr>
            <b/>
            <sz val="8"/>
            <color indexed="81"/>
            <rFont val="Tahoma"/>
            <family val="2"/>
          </rPr>
          <t xml:space="preserve">
</t>
        </r>
        <r>
          <rPr>
            <sz val="8"/>
            <color indexed="81"/>
            <rFont val="Tahoma"/>
            <family val="2"/>
          </rPr>
          <t xml:space="preserve">
</t>
        </r>
      </text>
    </comment>
    <comment ref="D111" authorId="1" shapeId="0" xr:uid="{00000000-0006-0000-0900-00001C000000}">
      <text>
        <r>
          <rPr>
            <b/>
            <sz val="8"/>
            <color indexed="81"/>
            <rFont val="Tahoma"/>
            <family val="2"/>
          </rPr>
          <t xml:space="preserve">=Gastos fijos / Ventas
Valor óptimo: Lo más reducido posible.
</t>
        </r>
        <r>
          <rPr>
            <sz val="8"/>
            <color indexed="81"/>
            <rFont val="Tahoma"/>
            <family val="2"/>
          </rPr>
          <t xml:space="preserve">Los gastos fijos también denominados  gastos de estructura se deducen del margen bruto para obtener el resultado.
</t>
        </r>
      </text>
    </comment>
    <comment ref="D112" authorId="0" shapeId="0" xr:uid="{00000000-0006-0000-0900-00001D000000}">
      <text>
        <r>
          <rPr>
            <b/>
            <sz val="8"/>
            <color indexed="81"/>
            <rFont val="Tahoma"/>
            <family val="2"/>
          </rPr>
          <t>Clientes x 360 / Ventas anuales 
(valor de referencia: lo más reducido posible)</t>
        </r>
        <r>
          <rPr>
            <sz val="8"/>
            <color indexed="81"/>
            <rFont val="Tahoma"/>
            <family val="2"/>
          </rPr>
          <t xml:space="preserve">
</t>
        </r>
      </text>
    </comment>
    <comment ref="D113" authorId="0" shapeId="0" xr:uid="{00000000-0006-0000-0900-00001E000000}">
      <text>
        <r>
          <rPr>
            <b/>
            <sz val="8"/>
            <color indexed="81"/>
            <rFont val="Tahoma"/>
            <family val="2"/>
          </rPr>
          <t>Proveedores x 360 / compras anuales
(valor de referencia: lo más elevado posible)</t>
        </r>
        <r>
          <rPr>
            <sz val="8"/>
            <color indexed="81"/>
            <rFont val="Tahoma"/>
            <family val="2"/>
          </rPr>
          <t xml:space="preserve">
</t>
        </r>
      </text>
    </comment>
    <comment ref="D117" authorId="2" shapeId="0" xr:uid="{00000000-0006-0000-0900-00001F000000}">
      <text>
        <r>
          <rPr>
            <b/>
            <sz val="8"/>
            <color indexed="81"/>
            <rFont val="Tahoma"/>
            <family val="2"/>
          </rPr>
          <t xml:space="preserve">=(Beneficio antes de intereses e impuestos BAII)/Activo X 100
Valor óptimo: Lo más elevado posible.
</t>
        </r>
        <r>
          <rPr>
            <sz val="8"/>
            <color indexed="81"/>
            <rFont val="Tahoma"/>
            <family val="2"/>
          </rPr>
          <t xml:space="preserve">
</t>
        </r>
      </text>
    </comment>
    <comment ref="D118" authorId="2" shapeId="0" xr:uid="{00000000-0006-0000-0900-000020000000}">
      <text>
        <r>
          <rPr>
            <b/>
            <sz val="8"/>
            <color indexed="81"/>
            <rFont val="Tahoma"/>
            <family val="2"/>
          </rPr>
          <t xml:space="preserve">=(Resultado antes de impuestos/Fondos propios) x 100.
Valor óptimo: Positivo, lo más elevado posible.
</t>
        </r>
        <r>
          <rPr>
            <sz val="8"/>
            <color indexed="81"/>
            <rFont val="Tahoma"/>
            <family val="2"/>
          </rPr>
          <t>Puede considerarse como la medida de la rentabilidad desde la perspectiva del propietario o accionista ya que incluye la totalidad de los resultados, con independencia de su origen.</t>
        </r>
      </text>
    </comment>
    <comment ref="D119" authorId="1" shapeId="0" xr:uid="{00000000-0006-0000-0900-000021000000}">
      <text>
        <r>
          <rPr>
            <b/>
            <sz val="8"/>
            <color indexed="81"/>
            <rFont val="Tahoma"/>
            <family val="2"/>
          </rPr>
          <t>= Resultado / Patrimonio Neto</t>
        </r>
        <r>
          <rPr>
            <sz val="8"/>
            <color indexed="81"/>
            <rFont val="Tahoma"/>
            <family val="2"/>
          </rPr>
          <t xml:space="preserve">
</t>
        </r>
        <r>
          <rPr>
            <b/>
            <sz val="8"/>
            <color indexed="81"/>
            <rFont val="Tahoma"/>
            <family val="2"/>
          </rPr>
          <t xml:space="preserve">Valor óptimo: Superior a inversiones con poco riesgo.
</t>
        </r>
        <r>
          <rPr>
            <sz val="8"/>
            <color indexed="81"/>
            <rFont val="Tahoma"/>
            <family val="2"/>
          </rPr>
          <t xml:space="preserve">Para conocer las causas que originan un valor determinado del ratio conviene considerar  la  incidencia en sus componentes: 
Resultado              Ventas                     Activo                       Resultado
--------------     x   -----------   x   -----------------------   =   ----------------------
 Ventas                  Activo                  Patrimonio Neto       Patrimonio Neto
  </t>
        </r>
      </text>
    </comment>
    <comment ref="D120" authorId="1" shapeId="0" xr:uid="{00000000-0006-0000-0900-000022000000}">
      <text>
        <r>
          <rPr>
            <b/>
            <sz val="8"/>
            <color indexed="81"/>
            <rFont val="Tahoma"/>
            <family val="2"/>
          </rPr>
          <t>= Ventas / Activo
Valor óptimo: Lo más elevado posible</t>
        </r>
        <r>
          <rPr>
            <sz val="8"/>
            <color indexed="81"/>
            <rFont val="Tahoma"/>
            <family val="2"/>
          </rPr>
          <t xml:space="preserve">
Puede interesar calcular el ratio para cada uno de los activos ( corrientes y no corrientes)</t>
        </r>
      </text>
    </comment>
    <comment ref="D121" authorId="2" shapeId="0" xr:uid="{00000000-0006-0000-0900-000023000000}">
      <text>
        <r>
          <rPr>
            <b/>
            <sz val="8"/>
            <color indexed="81"/>
            <rFont val="Tahoma"/>
            <family val="2"/>
          </rPr>
          <t>=BAII/Ventas.
Valor óptimo:  Positivo,  lo más elevado posible</t>
        </r>
        <r>
          <rPr>
            <sz val="8"/>
            <color indexed="81"/>
            <rFont val="Tahoma"/>
            <family val="2"/>
          </rPr>
          <t xml:space="preserve">
Representa el porcentaje de las ventas que supone el margen del negocio en sí mismo, antes de descontar intereses, gastos extraordinarios e impuestos. Mide el beneficio obtenido en la actividad por cada unidad monetaria facturada</t>
        </r>
      </text>
    </comment>
    <comment ref="D122" authorId="2" shapeId="0" xr:uid="{00000000-0006-0000-0900-000024000000}">
      <text>
        <r>
          <rPr>
            <b/>
            <sz val="8"/>
            <color indexed="81"/>
            <rFont val="Tahoma"/>
            <family val="2"/>
          </rPr>
          <t>=Beneficio Neto/Ventas
Valor óptimo: Positivo, o más elevado posible.</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JM</author>
  </authors>
  <commentList>
    <comment ref="E43" authorId="0" shapeId="0" xr:uid="{00000000-0006-0000-1000-000001000000}">
      <text>
        <r>
          <rPr>
            <b/>
            <sz val="8"/>
            <color indexed="81"/>
            <rFont val="Tahoma"/>
            <family val="2"/>
          </rPr>
          <t>Incluye tanto los costes directos imputables a cada producto o servicio, como el porcentaje correspondiente de los otros costes comunes a todos los productos o servicios</t>
        </r>
      </text>
    </comment>
    <comment ref="E58" authorId="0" shapeId="0" xr:uid="{00000000-0006-0000-1000-000002000000}">
      <text>
        <r>
          <rPr>
            <b/>
            <sz val="8"/>
            <color indexed="81"/>
            <rFont val="Tahoma"/>
            <family val="2"/>
          </rPr>
          <t>Incluye tanto los costes directos imputables a cada producto o servicio, como el porcentaje correspondiente de los otros costes comunes a todos los productos o servicios</t>
        </r>
      </text>
    </comment>
    <comment ref="E73" authorId="0" shapeId="0" xr:uid="{00000000-0006-0000-1000-000003000000}">
      <text>
        <r>
          <rPr>
            <b/>
            <sz val="8"/>
            <color indexed="81"/>
            <rFont val="Tahoma"/>
            <family val="2"/>
          </rPr>
          <t>Incluye tanto los costes directos imputables a cada producto o servicio, como el porcentaje correspondiente de los otros costes comunes a todos los productos o servicios</t>
        </r>
      </text>
    </comment>
  </commentList>
</comments>
</file>

<file path=xl/sharedStrings.xml><?xml version="1.0" encoding="utf-8"?>
<sst xmlns="http://schemas.openxmlformats.org/spreadsheetml/2006/main" count="1836" uniqueCount="753">
  <si>
    <t>LIQUIDACION DEL IMPUESTO DE SOCIEDADES</t>
  </si>
  <si>
    <t>Porcentaje del impuesto</t>
  </si>
  <si>
    <t>Porcentaje s/pagos fraccionados</t>
  </si>
  <si>
    <t>Año 1</t>
  </si>
  <si>
    <t>Año 2</t>
  </si>
  <si>
    <t>Año 3</t>
  </si>
  <si>
    <t>Resultados</t>
  </si>
  <si>
    <t>Cuota íntegra: Coincide con el dato de la Cuenta de Resultados,  Impuesto de Sociedades</t>
  </si>
  <si>
    <t>Importe a compensar por pérdidas en ejercicios anteriores:</t>
  </si>
  <si>
    <t>Cuota líquida</t>
  </si>
  <si>
    <t>Pago fraccionado Abril</t>
  </si>
  <si>
    <t>Importe liquidación Julio año x-1 cuota diferencial</t>
  </si>
  <si>
    <t>Pago fraccionado Octubre</t>
  </si>
  <si>
    <t>Pago fraccionado Diciembre</t>
  </si>
  <si>
    <t>Importe a llevar a Otros deudores.- 470. Hacienda Pública, deudora por diversos conceptos..- Crédito por pérdidas a compensar en el impuesto de Sociedades</t>
  </si>
  <si>
    <r>
      <t>Saldo d</t>
    </r>
    <r>
      <rPr>
        <sz val="10"/>
        <rFont val="Arial"/>
        <family val="2"/>
      </rPr>
      <t>e la cuenta de Otros deudores.- 470. Hacienda Pública, deudora por diversos conceptos..- Crédito por pérdidas a compensar en el impuesto de Sociedades</t>
    </r>
  </si>
  <si>
    <t>activo</t>
  </si>
  <si>
    <t>Importe a llevar a Otros deudores (Pagos fraccionados a cuenta del Impuesto de Sociedades a liquidar el próximo año)</t>
  </si>
  <si>
    <t>pasivo</t>
  </si>
  <si>
    <t>Importe a llevar a Otros acreedores (saldo a fin de año a favor de Hacienda)</t>
  </si>
  <si>
    <t>LIQUIDACION DE AUTONOMOS Estimación directa</t>
  </si>
  <si>
    <t>Año1</t>
  </si>
  <si>
    <t>% para pagos fraccionados</t>
  </si>
  <si>
    <t>Pagos anticipados</t>
  </si>
  <si>
    <t>A pagar a cta.</t>
  </si>
  <si>
    <t>Pagos ant.</t>
  </si>
  <si>
    <t>1er trimestre (abril año n)</t>
  </si>
  <si>
    <t>2º trimestre (julio año n)</t>
  </si>
  <si>
    <t>3er trimestre (octubre año n)</t>
  </si>
  <si>
    <t>4º trimestre (enero año n+1)</t>
  </si>
  <si>
    <t>Si Liquidación en IRPF (junio año n+1)</t>
  </si>
  <si>
    <t>Pago por caja</t>
  </si>
  <si>
    <t>LIQUIDACION DE AUTONOMOS Estimación objetiva</t>
  </si>
  <si>
    <t>Año2</t>
  </si>
  <si>
    <t>Año3</t>
  </si>
  <si>
    <t>Estimación</t>
  </si>
  <si>
    <t>Total liquidación</t>
  </si>
  <si>
    <t>Importes de los pagos fraccionados en autónomos</t>
  </si>
  <si>
    <t>Tesorería</t>
  </si>
  <si>
    <t>Saldo fin año</t>
  </si>
  <si>
    <t>Datos contables</t>
  </si>
  <si>
    <t>Total impuestos a llevar a la cuenta de resultados:</t>
  </si>
  <si>
    <t>Activo</t>
  </si>
  <si>
    <t>Total  impuestos a llevar a la cuenta de Otros deudores.- 470. Hacienda Pública, deudora por diversos conceptos. (Pagos fraccionados anticipados y liquidaciones negativas por pérdidas)</t>
  </si>
  <si>
    <t>Pasivo</t>
  </si>
  <si>
    <t>Total  impuestos a llevar a la cuenta de Otros acreedores. 475. Hacienda Pública, acreedora por conceptos fiscales (liquidación a fin de año a favor de Hacienda)</t>
  </si>
  <si>
    <t>SECOT</t>
  </si>
  <si>
    <t>Voluntariado senior de asesoramiento empresarial</t>
  </si>
  <si>
    <t>Análisis económico-financiero de proyectos empresariales</t>
  </si>
  <si>
    <t xml:space="preserve">Nota: Esta es una versión reducida del Estudio Económico Financiero para planes de negocio que puede obtener en </t>
  </si>
  <si>
    <t>https://sites.google.com/site/secotdelegacionmadrid/estudio-economico-financiero</t>
  </si>
  <si>
    <t>Instrucciones:</t>
  </si>
  <si>
    <t>Por favor, lea atentamente estas instrucciones antes de comenzar a utilizar el plan financiero</t>
  </si>
  <si>
    <r>
      <t>El presente libro Excel ha sido diseñado con el propósito de facilitar el análisis de viabilidad de una pequeña o mediana empresa y de que los informes que se generan, puedan ser impresos o copiados a un documento de plan de negocio</t>
    </r>
    <r>
      <rPr>
        <b/>
        <i/>
        <sz val="10"/>
        <rFont val="Arial"/>
        <family val="2"/>
      </rPr>
      <t>.</t>
    </r>
    <r>
      <rPr>
        <i/>
        <sz val="10"/>
        <rFont val="Arial"/>
        <family val="2"/>
      </rPr>
      <t xml:space="preserve">
Este análisis,  pretende dar respuesta a la mayoría de los negocios, por lo que, casi con toda seguridad, en su caso no serán de aplicación una buena parte de los informes. Utilice sólo aquellos que sean relevantes para su plan de negocio </t>
    </r>
    <r>
      <rPr>
        <b/>
        <i/>
        <sz val="10"/>
        <rFont val="Arial"/>
        <family val="2"/>
      </rPr>
      <t>(generalmente los del apartado de "Informes Principales" suelen ser suficientes)</t>
    </r>
    <r>
      <rPr>
        <i/>
        <sz val="10"/>
        <rFont val="Arial"/>
        <family val="2"/>
      </rPr>
      <t xml:space="preserve">. En cualquier caso, le recomendamos que, en su plan de negocio, añada comentarios que expliquen las razones de las cifras que sean más significativas o llamativas.
Se ha  intentado facilitar la cumplimentación de los datos a las personas que no posean un elevado conocimiento de los términos o expresiones propios del lenguaje financiero, incluyendo comentarios en las casillas a rellenar (aparece un pequeño triángulo rojo en el ángulo superior derecho y basta con pasar el cursor sobre él para que se despliegue la ayuda).
Únicamente deben rellenarse las celdas de color amarilo claro.  Los textos y cifras que aparecen en azul son a título de ejemplo y pueden ser libremente modificados, o suprimidos si no van a ser utilizados. El resto de celdas  se encuentran protegidas para garantizar el funcionamiento de las fórmulas.
SECOT y el autor de este libro Excel  no se hacen responsables de los hechos sucedidos como consecuencia de los resultados obtenidos en él.
</t>
    </r>
  </si>
  <si>
    <t>El libro consta de cuatro bloques de pestañas:</t>
  </si>
  <si>
    <t>Datos a rellenar por el emprendedor:</t>
  </si>
  <si>
    <t>Informes Principales:</t>
  </si>
  <si>
    <t>Otros Informes:</t>
  </si>
  <si>
    <t>Pestañas de color amarillo</t>
  </si>
  <si>
    <t>Pestañas de color azul</t>
  </si>
  <si>
    <t>Pestañas de color verde</t>
  </si>
  <si>
    <t>Cumplimente la información que corresponda en las cuatro pestañas amarillas (aunque deje casillas en blanco, debe responder a los cuatro cuestionarios). El resto de los informes  se generan automáticamente.</t>
  </si>
  <si>
    <t>1. DATOS GENERALES</t>
  </si>
  <si>
    <t>Nombre de la empresa</t>
  </si>
  <si>
    <t xml:space="preserve"> Indique el nombre de su empresa</t>
  </si>
  <si>
    <t>Sector:</t>
  </si>
  <si>
    <t>Otros</t>
  </si>
  <si>
    <t xml:space="preserve">   Seleccione de la tabla su sector de actividad</t>
  </si>
  <si>
    <t>tabla de sectores:</t>
  </si>
  <si>
    <t>Fecha prevista de inicio actividad:</t>
  </si>
  <si>
    <t>Indique la fecha en la que tiene previsto iniciar su actividad. Los informes se generarán en función de la misma.
Si desea que los informes contemplen tres años completos, reseñe 1 de enero.</t>
  </si>
  <si>
    <t xml:space="preserve">                                        ----</t>
  </si>
  <si>
    <t>Energía y agua</t>
  </si>
  <si>
    <t>Industria</t>
  </si>
  <si>
    <t>Construcción y servicios inmobiliarios</t>
  </si>
  <si>
    <t>Impuesto sobre el Valor Añadido:</t>
  </si>
  <si>
    <t>Comercio</t>
  </si>
  <si>
    <t xml:space="preserve"> Indique el porcentaje de IVA que le aplican sus proveedores de materias primas </t>
  </si>
  <si>
    <t>Transportes y comunicaciones</t>
  </si>
  <si>
    <t>IVA soportado en productos para venta o materias primas:</t>
  </si>
  <si>
    <t xml:space="preserve"> o de productos que luego vaya a comercializar (si son varios tipos indique un promedio)</t>
  </si>
  <si>
    <t>Hostelería y restauración</t>
  </si>
  <si>
    <t>IVA soportado en resto de productos o servicios:</t>
  </si>
  <si>
    <t xml:space="preserve"> Indique el porcentaje de IVA que le aplican el resto de proveedores de productos y servicios.</t>
  </si>
  <si>
    <t>Entidades financieras y aseguradoras</t>
  </si>
  <si>
    <t>IVA repercutido:</t>
  </si>
  <si>
    <t xml:space="preserve"> Indique el porcentaje de IVA que debe usted repercutir a sus clientes. (si son varios tipos indique un promedio)</t>
  </si>
  <si>
    <t>Servicios a empresas</t>
  </si>
  <si>
    <t>Enseñanza y sanidad</t>
  </si>
  <si>
    <t>Impuestos y distribución de resultados:</t>
  </si>
  <si>
    <t>Tipo del impuesto a aplicar</t>
  </si>
  <si>
    <t xml:space="preserve"> % Pagos fracciona-dos</t>
  </si>
  <si>
    <t>Impuesto de Sociedades (*)</t>
  </si>
  <si>
    <t xml:space="preserve">Puede escoger rellenar una cifra concreta o un porcentaje.
Si indica una cifra (estimación objetiva) el sistema la repartirá en 4 pagos fraccionados.
Si opta por el porcentaje (estimación directa) indique el % que espera le sea aplicado en el IRPF. </t>
  </si>
  <si>
    <t>Impuestos en empresarios individuales (Autónomos)</t>
  </si>
  <si>
    <t>Primer año</t>
  </si>
  <si>
    <t>Segundo año</t>
  </si>
  <si>
    <t>Tercer año</t>
  </si>
  <si>
    <t>%Pagos fraccionados.</t>
  </si>
  <si>
    <t>cifra</t>
  </si>
  <si>
    <t>%</t>
  </si>
  <si>
    <t>Estimación: (cifra o % sobre beneficios)</t>
  </si>
  <si>
    <t>Puede optar por rellenar una cifra concreta o un porcentaje</t>
  </si>
  <si>
    <t>Distribución de Resultados</t>
  </si>
  <si>
    <t>Estimación (cifra o % sobre beneficios después de impuestos.)</t>
  </si>
  <si>
    <t xml:space="preserve">Establezca la parte de los beneficios que, una vez pagados los impuestos, se distribuirán entre los socios al final de cada año. Puede indicar una cifra concreta o un porcentaje.
La parte no distribuida se contabilizará en Reservas. Tenga presente que la Ley obliga a destinar todos los años al menos un 10% del beneficio a constituir una reserva de carácter indisponible, hasta que la misma represente al menos el 20% de la cifra de capital. </t>
  </si>
  <si>
    <t>Productos o servicios  a comercializar:</t>
  </si>
  <si>
    <t>Producto o servicio 1</t>
  </si>
  <si>
    <t>Indique la denominación de cada tipo o familia  de productos o servicios que vaya a comercializar en su negocio.
Los nombres que reseñe en este cuadro serán los que se utilizarán en todos los cuestionarios e informes de la hoja de cálculo.
Si, más adelante, decide ampliar su gama de productos, tenga presente que debe darlos de alta en este cuestionario para que aparezcan en el resto de informes.</t>
  </si>
  <si>
    <t>Producto o servicio 2</t>
  </si>
  <si>
    <t>Producto o servicio 3</t>
  </si>
  <si>
    <t>Inicio actividad</t>
  </si>
  <si>
    <t xml:space="preserve">Mes </t>
  </si>
  <si>
    <t>año</t>
  </si>
  <si>
    <r>
      <t xml:space="preserve">Indique, en cada mes, el número de unidades  que espera vender, el precio que piensa aplicar a cada unidad,  el coste unitario de las mercancías o materias primas y otros costes que sean imputables a la comercialización del producto o servicio en concreto, como pueden ser: Envases, costes de transformación etc. 
Si no fuera posible esta asignación por tratarse de costes comunes a todos los productos o servicios, indique el importe  en el apartado "Otros costes directos comunes a todos los productos".
Si tiene previsto realizar descuentos sobre ventas  o si espera obtener descuentos sobre sus compras de mercancías/materias primas, réstelos del precio correspondiente.
Tenga en cuenta  los  incrementos que estima se producirán en los años sucesivos en el precio y volumen de ventas, así como en el coste de las mercancías o materias primas de cada producto.
El desglose por meses se presenta para poder controlar la incidencia de la estacionalidad en los informes detallados sobre la evolución de la tesorería y la cuenta de resultados, por lo que debe rellenar todas las casillas correspondientes a los meses en los que vaya a comercializar cada producto. Puede utilizar la función copiar y pegar para los datos que se repitan.
</t>
    </r>
    <r>
      <rPr>
        <b/>
        <i/>
        <sz val="10"/>
        <color indexed="60"/>
        <rFont val="Arial"/>
        <family val="2"/>
      </rPr>
      <t>Importante: No utilice la función cortar y pegar celdas, ya que desplazará la referencia de las mismas y podría originar errorres en los informes .</t>
    </r>
    <r>
      <rPr>
        <i/>
        <sz val="10"/>
        <color indexed="60"/>
        <rFont val="Arial"/>
        <family val="2"/>
      </rPr>
      <t xml:space="preserve">
</t>
    </r>
  </si>
  <si>
    <t>2. PRESUPUESTO DE VENTAS Y ESTIMACION DE COSTES</t>
  </si>
  <si>
    <t>Productos o servicios</t>
  </si>
  <si>
    <t xml:space="preserve">   Enero</t>
  </si>
  <si>
    <t>Febrero</t>
  </si>
  <si>
    <t>Marzo</t>
  </si>
  <si>
    <t xml:space="preserve">    Abril</t>
  </si>
  <si>
    <t>Mayo</t>
  </si>
  <si>
    <t xml:space="preserve">   Junio</t>
  </si>
  <si>
    <t>Julio</t>
  </si>
  <si>
    <t>Agosto</t>
  </si>
  <si>
    <t>Septiembre</t>
  </si>
  <si>
    <t>Octubre</t>
  </si>
  <si>
    <t>Noviembre</t>
  </si>
  <si>
    <t>Diciembre</t>
  </si>
  <si>
    <t>Total</t>
  </si>
  <si>
    <t>Unidades a vender:</t>
  </si>
  <si>
    <t>Precio unitario de venta:</t>
  </si>
  <si>
    <t>Ingresos previstos por ventas:</t>
  </si>
  <si>
    <t>Precio unitario de compras:</t>
  </si>
  <si>
    <t>Otros costes directos imputables al producto/servicio</t>
  </si>
  <si>
    <t>*En el caso de prever descuentos réstelos del precio</t>
  </si>
  <si>
    <t>Otros costes proporcionales comunes a todos los productos/servicios</t>
  </si>
  <si>
    <t>% s/ total de ventas</t>
  </si>
  <si>
    <t>% s/total de ventas Año2</t>
  </si>
  <si>
    <t>% s/ total de ventas Año3</t>
  </si>
  <si>
    <r>
      <t xml:space="preserve">Reseñe el porcentaje sobre el total de las ventas de productos o prestación de servicios que estima supondrán los otros costes directos  en cada año.
Estos costes son aquellos que sólo se producirán si se realizan ventas. Los gastos fijos del negocio (Sueldos, alquileres, luz, teléfono, impuestos etc.) se cumplimentarán aparte, en el cuestionario de </t>
    </r>
    <r>
      <rPr>
        <b/>
        <i/>
        <sz val="10"/>
        <color indexed="60"/>
        <rFont val="Arial"/>
        <family val="2"/>
      </rPr>
      <t>Previsión de Gastos.</t>
    </r>
  </si>
  <si>
    <t>Transporte</t>
  </si>
  <si>
    <t>Comisiones</t>
  </si>
  <si>
    <t>Embalajes</t>
  </si>
  <si>
    <t>Otros costes variables</t>
  </si>
  <si>
    <t xml:space="preserve">EXISTENCIAS DE MERCANCIAS PARA REVENTA
</t>
  </si>
  <si>
    <t>Fecha de compra de existencias iniciales</t>
  </si>
  <si>
    <r>
      <t xml:space="preserve">Rellene,  en las columnas de Existencias, el número de unidades de cada producto que desea mantener en stock y su precio de coste. 
Si desconoce el precio de cada unidad, y solo cuenta con una estimación global del coste, coloque  el total en la casilla de "Precio de coste"  y  1  en la casilla de "Unidades".(*)
Para simplificar, se considera que las cifras que indique serán el nivel de stocks a mantener en todo momento, y los cálculos de compras se realizarán en este sentido.
Indique también la fecha en las que adquirirá las existencias iniciales de productos o materias primas. (por defecto aparece la fecha de inicio de actividad, pero puede modificarla libremente)
</t>
    </r>
    <r>
      <rPr>
        <b/>
        <i/>
        <sz val="10"/>
        <color indexed="60"/>
        <rFont val="Arial"/>
        <family val="2"/>
      </rPr>
      <t>(*) Nota:
El sistema actualiza anualmente el valor de las existencias al precio de compra a diciembre, salvo que  se indiquen estimaciones  globales de coste en lugar de precios unitarios, en cuyo caso, mantiene el valor de las existencias constante.</t>
    </r>
  </si>
  <si>
    <t>Productos  a comercializar:</t>
  </si>
  <si>
    <t>Unidades</t>
  </si>
  <si>
    <t>Precio coste</t>
  </si>
  <si>
    <t>Total (€)</t>
  </si>
  <si>
    <t>Fecha</t>
  </si>
  <si>
    <t>mes año 1</t>
  </si>
  <si>
    <t>mes año 2</t>
  </si>
  <si>
    <t>mes año 3</t>
  </si>
  <si>
    <t>3. POLITICA DE COBROS Y PAGOS</t>
  </si>
  <si>
    <t>Plazos de cobro</t>
  </si>
  <si>
    <t>% / Total</t>
  </si>
  <si>
    <r>
      <t xml:space="preserve">Indique el porcentaje de ventas que cobrará al contado y, si tiene previsto conceder aplazamientos, los meses a los que cobrará y el porcentaje de las ventas.
</t>
    </r>
    <r>
      <rPr>
        <b/>
        <i/>
        <sz val="10"/>
        <color indexed="60"/>
        <rFont val="Arial"/>
        <family val="2"/>
      </rPr>
      <t>Por defecto aparece que se cobrará a partes iguales (25%)al contado,  y  aplazado a 1,  2  y 3 meses. Puede modificar estas cifras respetando que el total sea un 100%</t>
    </r>
  </si>
  <si>
    <t>Cobros al Contado:</t>
  </si>
  <si>
    <t>Cobros aplazados</t>
  </si>
  <si>
    <t>nº meses</t>
  </si>
  <si>
    <t>Plazos de pago</t>
  </si>
  <si>
    <t>Pagos al Contado:</t>
  </si>
  <si>
    <t>Pagos aplazados</t>
  </si>
  <si>
    <t>Indique el porcentaje de compras que realizará al contado y si tiene previsto conseguir aplazamientos, los meses a los que pagará y los porcentajes sobre el total de compras.</t>
  </si>
  <si>
    <r>
      <t xml:space="preserve">La denominación de los conceptos puede ser modificada. Los nombres que se incluyen son a título de ejemplo y puede borrar o sustituir los que no utilice.
En la columna "Inversión inicial" detalle el importe, sin IVA,  del valor previsto de todos los bienes necesarios para la puesta en marcha de la empresa.
Se sugieren períodos anuales razonables para la amortización de los elementos de inversión inicial, pero, por supuesto, éstos pueden ser libremente modificados.
En las columnas de "Inversiones" y "Aportaciones previstas", indique el importe de las que estime realizará a lo largo del primer año y siguientes.
</t>
    </r>
    <r>
      <rPr>
        <b/>
        <i/>
        <sz val="10"/>
        <color indexed="60"/>
        <rFont val="Arial"/>
        <family val="2"/>
      </rPr>
      <t>Importante: No utilice la función cortar y pegar celdas, ya que desplazará la referencia de las mismas y podría originar errorres en los informes .</t>
    </r>
  </si>
  <si>
    <t>4. PLAN DE INVERSION</t>
  </si>
  <si>
    <t>(Datos sin IVA)</t>
  </si>
  <si>
    <t>Concepto</t>
  </si>
  <si>
    <t>Inversión inicial</t>
  </si>
  <si>
    <t>Amortización en AÑOS</t>
  </si>
  <si>
    <t>Otras inversiones previstas en año 1</t>
  </si>
  <si>
    <t>Inversiones previstas en año 2</t>
  </si>
  <si>
    <t>Inversiones previstas en año 3</t>
  </si>
  <si>
    <t>Importe</t>
  </si>
  <si>
    <t>Inmovilizado material:</t>
  </si>
  <si>
    <t>Edificios/Locales</t>
  </si>
  <si>
    <t>Instalaciones / Acondicionamiento</t>
  </si>
  <si>
    <t>Maquinaria</t>
  </si>
  <si>
    <t>Utillaje, herramientas,...</t>
  </si>
  <si>
    <t>Mobiliario</t>
  </si>
  <si>
    <t>Elementos de transporte</t>
  </si>
  <si>
    <t>Equipos informáticos</t>
  </si>
  <si>
    <t>Otro inmovilizado material</t>
  </si>
  <si>
    <t>Edificios /Locales de segunda mano</t>
  </si>
  <si>
    <t>Solares sin edificar</t>
  </si>
  <si>
    <t>Total Inmovilizado material:</t>
  </si>
  <si>
    <t>Inmovilizado intangible:</t>
  </si>
  <si>
    <t>Aplicaciones Informáticas</t>
  </si>
  <si>
    <t>Licencias y concesiones administrativas</t>
  </si>
  <si>
    <t>Propiedad Industrial</t>
  </si>
  <si>
    <t>Investigación y desarrrollo</t>
  </si>
  <si>
    <t>Otro inmovilizado intangible</t>
  </si>
  <si>
    <t>No amortizable:</t>
  </si>
  <si>
    <t>Fondo de comercio</t>
  </si>
  <si>
    <t>Total Inmovilizado intangible:</t>
  </si>
  <si>
    <t>Inversiones financieras:</t>
  </si>
  <si>
    <t>Fianza del local</t>
  </si>
  <si>
    <t>Otras fianzas o garantías prestadas</t>
  </si>
  <si>
    <t>Cuentas a plazo y otras inversiones</t>
  </si>
  <si>
    <t>Total Inversiones financieras:</t>
  </si>
  <si>
    <t>Total Inmovilizado:</t>
  </si>
  <si>
    <t>Gastos de establecimiento (no amortizables):</t>
  </si>
  <si>
    <t>Gastos de constitución</t>
  </si>
  <si>
    <t>Formación del personal</t>
  </si>
  <si>
    <t>Estudios e informes previos</t>
  </si>
  <si>
    <t>Publicidad y propaganda</t>
  </si>
  <si>
    <t>Contratos de suministro: luz, agua, teléfono, etc.</t>
  </si>
  <si>
    <t>Derechos de traspaso</t>
  </si>
  <si>
    <t>Material de oficina</t>
  </si>
  <si>
    <t>Otros gastos de primer establecimiento</t>
  </si>
  <si>
    <t>Total Gastos de Establecimiento con IVA</t>
  </si>
  <si>
    <t xml:space="preserve"> ocultar esta fila</t>
  </si>
  <si>
    <t>Total Gastos de Establecimiento</t>
  </si>
  <si>
    <t>Existencias iniciales de mercancías:</t>
  </si>
  <si>
    <t>Stock inicial (€)</t>
  </si>
  <si>
    <t>Aportadas por  los socios</t>
  </si>
  <si>
    <t xml:space="preserve">Las compras de existencias necesarias para el inicio de la actividad han sido rellenadas en el cuestionario de "Previsión de negocio, facturación y consumos".
Si todas o parte de estas mercancías han sido entregadas por los socios como aportación no dineraria de capital, indique aquí el valor de las mismas.
Recuerde que las aportaciones de mercancías están sujetas a  IVA y que el sistema realizará la oportuna liquidación.
</t>
  </si>
  <si>
    <t>Total Existencias Iniciales:</t>
  </si>
  <si>
    <t>Total Inversión:</t>
  </si>
  <si>
    <t>5. FUENTES DE FINANCIACION</t>
  </si>
  <si>
    <t>Aportaciones previstas en año 1</t>
  </si>
  <si>
    <t>Aportaciones previstas en año 2</t>
  </si>
  <si>
    <t>Aportaciones previstas en año 3</t>
  </si>
  <si>
    <t>RECURSOS PROPIOS:</t>
  </si>
  <si>
    <t>Aportaciones dinerarias</t>
  </si>
  <si>
    <t>Aportaciones no dinerarias</t>
  </si>
  <si>
    <t>Capital</t>
  </si>
  <si>
    <r>
      <t>Aún cuando las subvenciones y donaciones tienen un tratamiento contable diferente si se han obtenido  para mejorar la rentabilidad</t>
    </r>
    <r>
      <rPr>
        <b/>
        <i/>
        <sz val="9"/>
        <color indexed="60"/>
        <rFont val="Arial"/>
        <family val="2"/>
      </rPr>
      <t xml:space="preserve"> "subvenciones de explotación"</t>
    </r>
    <r>
      <rPr>
        <i/>
        <sz val="9"/>
        <color indexed="60"/>
        <rFont val="Arial"/>
        <family val="2"/>
      </rPr>
      <t xml:space="preserve"> o para adquirir inmovilizado</t>
    </r>
    <r>
      <rPr>
        <b/>
        <i/>
        <sz val="9"/>
        <color indexed="60"/>
        <rFont val="Arial"/>
        <family val="2"/>
      </rPr>
      <t xml:space="preserve"> "subvenciones de capital"</t>
    </r>
    <r>
      <rPr>
        <i/>
        <sz val="9"/>
        <color indexed="60"/>
        <rFont val="Arial"/>
        <family val="2"/>
      </rPr>
      <t xml:space="preserve"> Se ha optado por considerarlas todas como de la primera categoría (se traspasan a resultados al fin de ejercicio), ya que las subvenciones de capital implican identificar cada bien adquirido y traspasarlas a resultados año a año,  en función de la vida útil de los mismos.</t>
    </r>
  </si>
  <si>
    <t>Subvenciones</t>
  </si>
  <si>
    <t>Donaciones</t>
  </si>
  <si>
    <t>TOTAL RECURSOS PROPIOS:</t>
  </si>
  <si>
    <t>RECURSOS AJENOS:</t>
  </si>
  <si>
    <t>CREDITOS A LARGO PLAZO:</t>
  </si>
  <si>
    <t>Plazo de pago en años</t>
  </si>
  <si>
    <t>Número de pagos por año</t>
  </si>
  <si>
    <t>Tipo de interés</t>
  </si>
  <si>
    <t>Fecha disposición</t>
  </si>
  <si>
    <t>Vencimiento del 1er. pago</t>
  </si>
  <si>
    <t>Meses de carencia de amortización de capital</t>
  </si>
  <si>
    <t>Disponible a inicio actividad</t>
  </si>
  <si>
    <t>Préstamos a largo plazo financieros:</t>
  </si>
  <si>
    <t>del préstamo</t>
  </si>
  <si>
    <t>Préstamo de...( Entidad financiera A)</t>
  </si>
  <si>
    <t>Préstamo de...( Entidad financiera B)</t>
  </si>
  <si>
    <t>Total préstamos a largo plazo financieros:</t>
  </si>
  <si>
    <t>&lt;--------------------</t>
  </si>
  <si>
    <t>(Disponible al inicio de la actividad)</t>
  </si>
  <si>
    <t>-------------------------------------------------------------------------------------------------------------'</t>
  </si>
  <si>
    <t>Arrendamientos financieros (Leasing)</t>
  </si>
  <si>
    <t>Fecha del contrato</t>
  </si>
  <si>
    <t>Opción de compra</t>
  </si>
  <si>
    <t>Contratados a inicio actividad</t>
  </si>
  <si>
    <r>
      <rPr>
        <b/>
        <i/>
        <sz val="9"/>
        <color indexed="60"/>
        <rFont val="Arial"/>
        <family val="2"/>
      </rPr>
      <t>IMPORTANTE:</t>
    </r>
    <r>
      <rPr>
        <i/>
        <sz val="9"/>
        <color indexed="60"/>
        <rFont val="Arial"/>
        <family val="2"/>
      </rPr>
      <t xml:space="preserve">
Los bienes adquiridos bajo la modalidad de Arrendamiento financiero deben figurar previamente  en el Inmovilizado material.</t>
    </r>
  </si>
  <si>
    <t>Contratados año1</t>
  </si>
  <si>
    <t>Contratados año2</t>
  </si>
  <si>
    <t>Contratados año3</t>
  </si>
  <si>
    <t>Leasing Maquinaria</t>
  </si>
  <si>
    <t>Leasing Transporte</t>
  </si>
  <si>
    <t>Total arrendamientos financieros</t>
  </si>
  <si>
    <t>(Contratados al inicio de la actividad)</t>
  </si>
  <si>
    <t>------------------------------------------------------------------------------------------'</t>
  </si>
  <si>
    <t>Otra financiación a  largo plazo</t>
  </si>
  <si>
    <t>Fecha de disposición</t>
  </si>
  <si>
    <t>Contraídas a inicio actividad</t>
  </si>
  <si>
    <t>Deudas con socios a largo plazo</t>
  </si>
  <si>
    <t>Otros acreedores a largo plazo</t>
  </si>
  <si>
    <t>Total otra financiación a largo plazo</t>
  </si>
  <si>
    <t>(Concedida al inicio de la actividad)</t>
  </si>
  <si>
    <t>-------------------------------------'</t>
  </si>
  <si>
    <t>TOTAL CREDITOS A LARGO PLAZO:</t>
  </si>
  <si>
    <t>CREDITOS A CORTO PLAZO:</t>
  </si>
  <si>
    <t>Plazo pago en meses</t>
  </si>
  <si>
    <t>Cuotas</t>
  </si>
  <si>
    <t>Préstamos a corto plazo financieros:</t>
  </si>
  <si>
    <t>Mensuales</t>
  </si>
  <si>
    <t>Total acreedores a corto plazo financieros:</t>
  </si>
  <si>
    <t>--------------------------------------------------------------------'</t>
  </si>
  <si>
    <t xml:space="preserve">Acreedores comerciales: </t>
  </si>
  <si>
    <t xml:space="preserve">Total acreedores comerciales: </t>
  </si>
  <si>
    <t>Otros acreedores</t>
  </si>
  <si>
    <t>Deudas con socios a corto plazo.</t>
  </si>
  <si>
    <t>Otros acreedores a corto plazo</t>
  </si>
  <si>
    <t>TOTAL CREDITOS A CORTO PLAZO:</t>
  </si>
  <si>
    <t>TOTAL RECURSOS AJENOS:</t>
  </si>
  <si>
    <t>Total Financiación:</t>
  </si>
  <si>
    <t>Déficit de financiación:</t>
  </si>
  <si>
    <t>Deficit de liquidez:</t>
  </si>
  <si>
    <r>
      <t xml:space="preserve">La denominación de los conceptos puede ser modificada. Los nombres que se incluyen son a título de ejemplo y puede borrar  o sustituir los que no utilice.
Rellene los gastos que estime debe realizar en cada mes, cumplimentando todo el año. Esto es importante para definir la estacionalidad y las necesidades de tesorería mes a mes. Los informes tendrán en cuenta la fecha de inicio de actividad. 
Indique la fecha en la que contratará al personal (por defecto aparece la de inicio de actividad, pero si tiene previsto ir ampliando la plantillla  puede modificarla libremente).
En las últimas columnas, indique el porcentaje de incremento que estima tendrá cada capítulo en los años sucesivos.
</t>
    </r>
    <r>
      <rPr>
        <b/>
        <i/>
        <sz val="10"/>
        <color indexed="60"/>
        <rFont val="Arial"/>
        <family val="2"/>
      </rPr>
      <t>Importante: No utilice la función cortar y pegar celdas, ya que desplazará la referencia de las mismas y podría originar errorres en los informes .</t>
    </r>
    <r>
      <rPr>
        <i/>
        <sz val="10"/>
        <color indexed="60"/>
        <rFont val="Arial"/>
        <family val="2"/>
      </rPr>
      <t xml:space="preserve">
</t>
    </r>
  </si>
  <si>
    <t>6. PREVISIÓN DE GASTOS Y OTROS RESULTADOS</t>
  </si>
  <si>
    <t>¡ATENCION!  Cumplimente el año completo. Los informes tendrán en cuenta la fecha de inicio de la actividad</t>
  </si>
  <si>
    <t>% incr.</t>
  </si>
  <si>
    <t>Fecha de contratación</t>
  </si>
  <si>
    <t>Conceptos</t>
  </si>
  <si>
    <t xml:space="preserve">   Ene.</t>
  </si>
  <si>
    <t>Febr.</t>
  </si>
  <si>
    <t>Mar.</t>
  </si>
  <si>
    <t>Ago.</t>
  </si>
  <si>
    <t>Sep.</t>
  </si>
  <si>
    <t>Oct.</t>
  </si>
  <si>
    <t>Nov.</t>
  </si>
  <si>
    <t>Dic.</t>
  </si>
  <si>
    <t>año 2</t>
  </si>
  <si>
    <t>año 3</t>
  </si>
  <si>
    <t>Gastos de personal:</t>
  </si>
  <si>
    <t>mes</t>
  </si>
  <si>
    <t>Promotor  (Sueldo + S.S.)</t>
  </si>
  <si>
    <t>Asalariado (Sueldo + S.S.)</t>
  </si>
  <si>
    <t>Total Gastos de personal</t>
  </si>
  <si>
    <t>Tributos e impuestos:</t>
  </si>
  <si>
    <t>IBI</t>
  </si>
  <si>
    <t xml:space="preserve">Impuesto de vehículos de tracción mecánica </t>
  </si>
  <si>
    <t>Impuestos</t>
  </si>
  <si>
    <t>Total Tributos e impuestos</t>
  </si>
  <si>
    <t>Gastos financieros:</t>
  </si>
  <si>
    <t>Gastos amortización préstamos Largo Plazo</t>
  </si>
  <si>
    <t>Gastos amortización préstamos Corto Plazo</t>
  </si>
  <si>
    <t>Arrendamientos Financieros</t>
  </si>
  <si>
    <t>Total Gastos financieros</t>
  </si>
  <si>
    <t>Gastos comerciales:</t>
  </si>
  <si>
    <t>Total Gastos comerciales</t>
  </si>
  <si>
    <t>Otros gastos (Servicios exteriores):</t>
  </si>
  <si>
    <t>Suministros: luz, agua, teléfono, etc.</t>
  </si>
  <si>
    <t>Servicios de profesionales indep.</t>
  </si>
  <si>
    <t>Primas de Seguros</t>
  </si>
  <si>
    <t>Trabajos realizados por otras empresas</t>
  </si>
  <si>
    <t>Arrendamientos</t>
  </si>
  <si>
    <t>Mantenimiento y reparación</t>
  </si>
  <si>
    <t>Limpieza</t>
  </si>
  <si>
    <t>Hosting</t>
  </si>
  <si>
    <t>Varios</t>
  </si>
  <si>
    <t>Total Otros gastos (Servicios exteriores)</t>
  </si>
  <si>
    <t>Total gastos</t>
  </si>
  <si>
    <t>Ingresos financieros</t>
  </si>
  <si>
    <t>Total Ingresos financieros</t>
  </si>
  <si>
    <t>Presupuesto inicial Inversiones - Financiación</t>
  </si>
  <si>
    <t>Inversiones:</t>
  </si>
  <si>
    <t>% sobre inversión</t>
  </si>
  <si>
    <t>INMOVILIZADO</t>
  </si>
  <si>
    <t>INMOVILIZADO INTANGIBLE</t>
  </si>
  <si>
    <t>TOTAL INMOVILIZADO INTANGIBLE</t>
  </si>
  <si>
    <t>INMOVILIZADO MATERIAL</t>
  </si>
  <si>
    <t>TOTAL INMOVILIZADO MATERIAL</t>
  </si>
  <si>
    <t>INMOVILIZADO FINANCIERO</t>
  </si>
  <si>
    <t>TOTAL INMOVILIZADO FINANCIERO</t>
  </si>
  <si>
    <t>TOTAL INMOVILIZADO:</t>
  </si>
  <si>
    <t>GASTOS DE PERSONAL</t>
  </si>
  <si>
    <t>TOTAL GASTOS DE PERSONAL</t>
  </si>
  <si>
    <t>GASTOS DE PRIMER ESTABLECIMIENTO:</t>
  </si>
  <si>
    <t>Columnas que deben estar ocultas:</t>
  </si>
  <si>
    <t>TOTAL GASTOS DE PRIMER ESTABLECIMIENTO</t>
  </si>
  <si>
    <t>EXISTENCIAS INICIALES:</t>
  </si>
  <si>
    <t>Mercancías financiadas por proveedores:</t>
  </si>
  <si>
    <t>IVA soportado por compra mercancías financiada por proveedores</t>
  </si>
  <si>
    <t>Total deuda con Acreedores comerciales</t>
  </si>
  <si>
    <t>TOTAL EXISTENCIAS INICIALES:</t>
  </si>
  <si>
    <t>Total Inversiones:</t>
  </si>
  <si>
    <t>IVA SOPORTADO</t>
  </si>
  <si>
    <t>IVA soportado por Inversiones</t>
  </si>
  <si>
    <t>Financiación:</t>
  </si>
  <si>
    <t>IVA soportado por Gastos de Establecimiento</t>
  </si>
  <si>
    <t>IVA soportado por Compras Mercaderías</t>
  </si>
  <si>
    <t>Financiación inicial</t>
  </si>
  <si>
    <t>TOTAL Hacienda Pública Deudora por IVA:</t>
  </si>
  <si>
    <t>% sobre financiación</t>
  </si>
  <si>
    <t>Existencias iniciales más IVA</t>
  </si>
  <si>
    <t>CREDITOS A LARGO PLAZO</t>
  </si>
  <si>
    <t>Acreedores comerciales:
(Por compra del stock de existencias a plazo)</t>
  </si>
  <si>
    <t>TESORERIA INICIAL/DISPONIBLE:</t>
  </si>
  <si>
    <r>
      <rPr>
        <b/>
        <sz val="10"/>
        <color indexed="60"/>
        <rFont val="Arial"/>
        <family val="2"/>
      </rPr>
      <t>Nota:</t>
    </r>
    <r>
      <rPr>
        <sz val="10"/>
        <color indexed="60"/>
        <rFont val="Arial"/>
        <family val="2"/>
      </rPr>
      <t xml:space="preserve">
El informe presenta la situación antes del reparto de beneficios.</t>
    </r>
  </si>
  <si>
    <t>Previsión de Cuenta de Pérdidas y Ganancias.</t>
  </si>
  <si>
    <t>1er año</t>
  </si>
  <si>
    <t>2º año</t>
  </si>
  <si>
    <t>3er año</t>
  </si>
  <si>
    <t>1.</t>
  </si>
  <si>
    <t>Importe neto de la cifra de negocios:</t>
  </si>
  <si>
    <t>2.</t>
  </si>
  <si>
    <t>Variación de existencias de productos terminados y en curso de fabricación</t>
  </si>
  <si>
    <t>3.</t>
  </si>
  <si>
    <t>Trabajos realizados por la empresa para su activo</t>
  </si>
  <si>
    <t>4.</t>
  </si>
  <si>
    <t xml:space="preserve"> Aprovisionamientos</t>
  </si>
  <si>
    <t>5.</t>
  </si>
  <si>
    <t>Otros ingresos de explotación</t>
  </si>
  <si>
    <t>6.</t>
  </si>
  <si>
    <t>Gastos de Personal</t>
  </si>
  <si>
    <t>7.</t>
  </si>
  <si>
    <t>Otros gastos de explotación</t>
  </si>
  <si>
    <t>8.</t>
  </si>
  <si>
    <t xml:space="preserve"> Amortización del inmovilizado</t>
  </si>
  <si>
    <t>9.</t>
  </si>
  <si>
    <t>Imputación de subvenciones de inmovilizado no financiero y otras</t>
  </si>
  <si>
    <t>RESULTADO DE EXPLOTACIÓN</t>
  </si>
  <si>
    <t>12.</t>
  </si>
  <si>
    <t>13.</t>
  </si>
  <si>
    <t>Gastos financieros</t>
  </si>
  <si>
    <t>RESULTADO FINANCIERO</t>
  </si>
  <si>
    <t>RESULTADO ANTES DE IMPUESTOS</t>
  </si>
  <si>
    <t>17.</t>
  </si>
  <si>
    <t>Impuestos s/beneficios</t>
  </si>
  <si>
    <t>RESULTADO DEL EJERCICIO</t>
  </si>
  <si>
    <t>Beneficios  a distribuir:</t>
  </si>
  <si>
    <t>Remanente</t>
  </si>
  <si>
    <t>Cash Flow</t>
  </si>
  <si>
    <t>Valor de la producción</t>
  </si>
  <si>
    <t>Consumo intermedio</t>
  </si>
  <si>
    <t>Valor añadido de la empresa</t>
  </si>
  <si>
    <t>Punto de equilibrio</t>
  </si>
  <si>
    <t>Resultado operativo (EBIDTA)</t>
  </si>
  <si>
    <t>Cuenta de Resultados.- Detalle del primer año:</t>
  </si>
  <si>
    <t>Estado inicial</t>
  </si>
  <si>
    <t>Sin fecha determinada</t>
  </si>
  <si>
    <t>Variación de existencias de productos terminados y en curso de fabricación:</t>
  </si>
  <si>
    <t>Trabajos realizados por la empresa para su activo:</t>
  </si>
  <si>
    <t>Aprovisionamientos:</t>
  </si>
  <si>
    <t>Compras</t>
  </si>
  <si>
    <t>Otros costes directos imputables a los productos o servicios</t>
  </si>
  <si>
    <t>Total Aprovisionamientos</t>
  </si>
  <si>
    <t>Margen Bruto s/Ventas</t>
  </si>
  <si>
    <t>IVA soportado s/inversiones(*)</t>
  </si>
  <si>
    <t>IVA soportado(*)</t>
  </si>
  <si>
    <t>Gastos de primer establecimiento</t>
  </si>
  <si>
    <t>Total Otros gastos de explotación</t>
  </si>
  <si>
    <t>Resultado de las operaciones</t>
  </si>
  <si>
    <t>Amortización del inmovilizado</t>
  </si>
  <si>
    <t>Imputación de subvenciones de inmovilizado no financiero y otras:</t>
  </si>
  <si>
    <t>Gastos de constitución de préstamos</t>
  </si>
  <si>
    <t>Cuenta de Resultados.- Detalle del segundo año:</t>
  </si>
  <si>
    <t>Cuenta de Resultados.- Detalle del tercer año:</t>
  </si>
  <si>
    <t xml:space="preserve"> Previsión de Tesorería y Cuenta de  IVA</t>
  </si>
  <si>
    <t>Primer     año</t>
  </si>
  <si>
    <t>Tercer     año</t>
  </si>
  <si>
    <t>Saldo inicial (1)</t>
  </si>
  <si>
    <t>Recursos propios</t>
  </si>
  <si>
    <t>Cobros por  ventas y prestación de servicios con IVA</t>
  </si>
  <si>
    <t>Créditos obtenidos a largo plazo</t>
  </si>
  <si>
    <t>Créditos obtenidos a corto plazo</t>
  </si>
  <si>
    <t>Total Entradas (2)</t>
  </si>
  <si>
    <t>Pagos por compras con IVA</t>
  </si>
  <si>
    <t>Pago de otros costes directos imputables a los productos o servicios</t>
  </si>
  <si>
    <t>Pago de otros costes proporcionales comunes a todos los productos/servicios</t>
  </si>
  <si>
    <t>Devolución de préstamos financieros</t>
  </si>
  <si>
    <t>Amortización de los arrendamientos financieros</t>
  </si>
  <si>
    <t>Devolución de otros préstamos no financieros</t>
  </si>
  <si>
    <t>Inversiones realizadas</t>
  </si>
  <si>
    <t>Resto I.V.A. soportado</t>
  </si>
  <si>
    <t xml:space="preserve">Liquidación trimestral del I.V.A. </t>
  </si>
  <si>
    <t>Pagos por Impuesto de Sociedades*</t>
  </si>
  <si>
    <t>Pagos por Impuesto s/ Beneficios (IRPF)*</t>
  </si>
  <si>
    <t>Otros Impuestos y tributos</t>
  </si>
  <si>
    <t>Pagos por distribución de beneficios</t>
  </si>
  <si>
    <t>Total Salidas (3)</t>
  </si>
  <si>
    <t>Tesorería del periodo = (2)-(3)</t>
  </si>
  <si>
    <t>Saldo final = Tesorería periodo + (1)</t>
  </si>
  <si>
    <t>* Cuando el importe de "Pagos por Impuesto de Sociedades" aparece en negativo quiere decir que la declaración resulta "a devolver"</t>
  </si>
  <si>
    <t>* Cuando el importe de "Pagos por Impuesto de Beneficios" aparece en negativo quiere decir que la declaración resulta "a devolver"</t>
  </si>
  <si>
    <t xml:space="preserve">Saldo de IVA: </t>
  </si>
  <si>
    <t>Detalle del primer año:</t>
  </si>
  <si>
    <t>s/fecha det.</t>
  </si>
  <si>
    <t>Cobros por  ventas (con IVA)</t>
  </si>
  <si>
    <t>Pagos por Impuesto de Sociedades</t>
  </si>
  <si>
    <t>Pagos por Impuesto s/ Beneficios (IRPF)</t>
  </si>
  <si>
    <t>IVA repercutido en Ventas de mercancías</t>
  </si>
  <si>
    <t>IVA soportado por Compras de mercancías</t>
  </si>
  <si>
    <t xml:space="preserve">Saldo de IVA  </t>
  </si>
  <si>
    <t>Fechas de liquidación del IVA y pago del impuesto s/ beneficios:</t>
  </si>
  <si>
    <t>Detalle del segundo año:</t>
  </si>
  <si>
    <t>Detalle del tercer año:</t>
  </si>
  <si>
    <t>Pagos por compras</t>
  </si>
  <si>
    <t>Notas:
El informe presenta la situación antes del reparto de beneficios.
En Pérdidas y Ganancias del Ejercicio, se refleja el resultado después de impuestos y en Pasivos por Impuesto Diferido, el impuesto sobre el beneficio que se pagará al año siguiente. Los pagos fraccionados a cuenta figuran en Activos por Impuesto Diferido.
El saldo de IVA figura en Otros Acreedores o en Otros deudores en función de que la liquidación sea positiva o negativa</t>
  </si>
  <si>
    <t>Previsión de Balances:</t>
  </si>
  <si>
    <t>Activo:</t>
  </si>
  <si>
    <t>€</t>
  </si>
  <si>
    <t>A) ACTIVO NO CORRIENTE</t>
  </si>
  <si>
    <t xml:space="preserve">    Inmovilizado intangible.</t>
  </si>
  <si>
    <t>.</t>
  </si>
  <si>
    <t xml:space="preserve">    Inmovilizado material.</t>
  </si>
  <si>
    <t xml:space="preserve">    Inversiones inmobiliarias.</t>
  </si>
  <si>
    <t xml:space="preserve">    Inmovilizado Financiero</t>
  </si>
  <si>
    <t xml:space="preserve">    Inversiones financieras a largo plazo.</t>
  </si>
  <si>
    <t xml:space="preserve">    Activos por impuesto diferido.</t>
  </si>
  <si>
    <t>Total Activo no corriente</t>
  </si>
  <si>
    <t>B) ACTIVO CORRIENTE</t>
  </si>
  <si>
    <t xml:space="preserve">   Existencias</t>
  </si>
  <si>
    <t xml:space="preserve">   Deudores comerc. y otras cuentas a cobrar</t>
  </si>
  <si>
    <t xml:space="preserve">      Clientes por ventas y prestación de servicios</t>
  </si>
  <si>
    <t xml:space="preserve">      Otros deudores</t>
  </si>
  <si>
    <t xml:space="preserve">   Inversiones financieras a corto plazo.</t>
  </si>
  <si>
    <t xml:space="preserve">   Periodificaciones a corto plazo.</t>
  </si>
  <si>
    <t xml:space="preserve">   Efectivo y otros activos líquidos equivalentes.</t>
  </si>
  <si>
    <t>Total Activo corriente</t>
  </si>
  <si>
    <t>Total Activo</t>
  </si>
  <si>
    <t>Patrimonio Neto y Pasivo:</t>
  </si>
  <si>
    <t>A) PATRIMONIO NETO</t>
  </si>
  <si>
    <t>A-1) Fondos propios</t>
  </si>
  <si>
    <t xml:space="preserve">   Capital</t>
  </si>
  <si>
    <t xml:space="preserve">   Reservas</t>
  </si>
  <si>
    <t xml:space="preserve">   Resultados de ejercicios anteriores.</t>
  </si>
  <si>
    <t xml:space="preserve">   Otras aportaciones de socios.</t>
  </si>
  <si>
    <t xml:space="preserve">   Resultado del ejercicio.</t>
  </si>
  <si>
    <t>A-2) Subvenciones, donaciones y legados recibidos</t>
  </si>
  <si>
    <t>Total Patrimonio neto</t>
  </si>
  <si>
    <t>B) PASIVO NO CORRIENTE</t>
  </si>
  <si>
    <t xml:space="preserve">   Deudas a largo plazo</t>
  </si>
  <si>
    <t xml:space="preserve">       Deudas con entidades de crédito</t>
  </si>
  <si>
    <t xml:space="preserve">       Acreedores por arrendamiento financiero</t>
  </si>
  <si>
    <t xml:space="preserve">       Otras deudas a largo plazo</t>
  </si>
  <si>
    <t xml:space="preserve">   Deudas con empresas del grupo y asociadas</t>
  </si>
  <si>
    <t xml:space="preserve">   Pasivos por impuesto diferido</t>
  </si>
  <si>
    <t xml:space="preserve">   Periodificaciones a largo plazo</t>
  </si>
  <si>
    <t>Total Pasivo no corriente</t>
  </si>
  <si>
    <t>C) PASIVO CORRIENTE</t>
  </si>
  <si>
    <t xml:space="preserve">   Deudas a corto plazo</t>
  </si>
  <si>
    <t xml:space="preserve">       Otros Acreedores a C. Plazo</t>
  </si>
  <si>
    <t xml:space="preserve">   Acreed. comerciales y otras cuentas a pagar</t>
  </si>
  <si>
    <t xml:space="preserve">         Proveedores</t>
  </si>
  <si>
    <t xml:space="preserve">         Otros Acreedores</t>
  </si>
  <si>
    <t>Total Pasivo corriente</t>
  </si>
  <si>
    <t>Total Patrimonio Neto y Pasivo</t>
  </si>
  <si>
    <t>Total Recursos Permanentes</t>
  </si>
  <si>
    <t>Total Recursos Ajenos</t>
  </si>
  <si>
    <t>Fondo de Maniobra:</t>
  </si>
  <si>
    <t>Los % de Fondo de Maniobra son sobre el Activo Total.</t>
  </si>
  <si>
    <t xml:space="preserve"> Cuadre de Balance. Diferencia: </t>
  </si>
  <si>
    <t>Ratio medio</t>
  </si>
  <si>
    <t>Ratios:</t>
  </si>
  <si>
    <t>del sector</t>
  </si>
  <si>
    <t>Cash Flow:</t>
  </si>
  <si>
    <t>Margen bruto s/ventas</t>
  </si>
  <si>
    <t>Crecimiento Beneficio</t>
  </si>
  <si>
    <t>-   -</t>
  </si>
  <si>
    <t>Rentabilidad financiera</t>
  </si>
  <si>
    <t>Rendimiento o Rentabilidad del Activo</t>
  </si>
  <si>
    <t>Fondo de maniobra s/Exigible a corto plazo</t>
  </si>
  <si>
    <t>Disponibilidad</t>
  </si>
  <si>
    <t>Garantía</t>
  </si>
  <si>
    <t>Gastos financieros  s/Ventas</t>
  </si>
  <si>
    <t>Apalancamiento financiero</t>
  </si>
  <si>
    <t>Grado de apalancamiento</t>
  </si>
  <si>
    <t>Rotación del activo circulante</t>
  </si>
  <si>
    <t>Rotación de stocks</t>
  </si>
  <si>
    <t>Umbral de rentabilidad o Punto muerto del negocio</t>
  </si>
  <si>
    <t>Euros</t>
  </si>
  <si>
    <t>Endeudamiento</t>
  </si>
  <si>
    <t>Solvencia a corto plazo:</t>
  </si>
  <si>
    <t>Liquidez</t>
  </si>
  <si>
    <t>Estructura financiera:</t>
  </si>
  <si>
    <t>Fondo de maniobra s/pasivo fijo</t>
  </si>
  <si>
    <t>Autonomía</t>
  </si>
  <si>
    <t>Solvencia Global</t>
  </si>
  <si>
    <t>Calidad de la deuda</t>
  </si>
  <si>
    <t>Capacidad de devolución</t>
  </si>
  <si>
    <t xml:space="preserve">Cobertura del fondo de maniobra </t>
  </si>
  <si>
    <t>Plazo de existencias</t>
  </si>
  <si>
    <t xml:space="preserve">Financiación de clientes por proveedores </t>
  </si>
  <si>
    <t>Ventas y gastos:</t>
  </si>
  <si>
    <t>Tasa del valor añadido</t>
  </si>
  <si>
    <t xml:space="preserve">Tasa de gastos de personal </t>
  </si>
  <si>
    <t>Margen bruto/Ventas o M. bruto de explotación</t>
  </si>
  <si>
    <t>Gastos fijos / Ventas</t>
  </si>
  <si>
    <t>Plazo de cobro o rotación de la cuenta de clientes</t>
  </si>
  <si>
    <t>Días</t>
  </si>
  <si>
    <t>Plazo de pago o rotación de proveedores</t>
  </si>
  <si>
    <t>Rentabilidad:</t>
  </si>
  <si>
    <t>Rentabilidad económica (ROI)</t>
  </si>
  <si>
    <t>Rentabilidad financiera (ROE)</t>
  </si>
  <si>
    <t xml:space="preserve">% </t>
  </si>
  <si>
    <t>Rentabilidad del patrimonio</t>
  </si>
  <si>
    <t>Rotación del activo</t>
  </si>
  <si>
    <t>Margen operativo</t>
  </si>
  <si>
    <t>Beneficio s/ ventas</t>
  </si>
  <si>
    <t xml:space="preserve">Cuadro de Amortización Contable </t>
  </si>
  <si>
    <t>Amortización</t>
  </si>
  <si>
    <t>Inversiones año 1</t>
  </si>
  <si>
    <t>Cuota mens. amort.año 1</t>
  </si>
  <si>
    <t>Amortización año 1</t>
  </si>
  <si>
    <t>Inversiones año 2</t>
  </si>
  <si>
    <t>Amortización año 2</t>
  </si>
  <si>
    <t>Inversiones año 3</t>
  </si>
  <si>
    <t>Amortización año 3</t>
  </si>
  <si>
    <t>AÑOS</t>
  </si>
  <si>
    <t>Inmovilizado Material:</t>
  </si>
  <si>
    <t>Total Inmovilizado Material</t>
  </si>
  <si>
    <t>Inmovilizado Intangible</t>
  </si>
  <si>
    <t>Total Inmovilizado Intangible</t>
  </si>
  <si>
    <t>Totales anuales</t>
  </si>
  <si>
    <t>Amortización de préstamos a Largo Plazo</t>
  </si>
  <si>
    <t>RESUMEN:</t>
  </si>
  <si>
    <t>Financiación</t>
  </si>
  <si>
    <t>Interés</t>
  </si>
  <si>
    <t xml:space="preserve">Contratos </t>
  </si>
  <si>
    <t>I.V.A</t>
  </si>
  <si>
    <t>Obtenida</t>
  </si>
  <si>
    <t>pagado</t>
  </si>
  <si>
    <t>amortizado</t>
  </si>
  <si>
    <t>suscritos</t>
  </si>
  <si>
    <t>Financiacion inicial:</t>
  </si>
  <si>
    <t>Situación inical:</t>
  </si>
  <si>
    <t>Primer año:</t>
  </si>
  <si>
    <t>Segundo año:</t>
  </si>
  <si>
    <t>Tercer año:</t>
  </si>
  <si>
    <t>Cuarto año:</t>
  </si>
  <si>
    <t>Capital  a amortizar cada año (traspaso a corto plazo)</t>
  </si>
  <si>
    <t>Obtenida:</t>
  </si>
  <si>
    <t>4º año</t>
  </si>
  <si>
    <t>contratados:</t>
  </si>
  <si>
    <t>Inicialmente:</t>
  </si>
  <si>
    <t>Fecha informe:</t>
  </si>
  <si>
    <t>PRESTAMOS.- Amortización en los cuatro primeros años:</t>
  </si>
  <si>
    <t>ARRENDAMIENTOS FINANCIEROS (LEASING).- Amortización en los cuatro primeros años:</t>
  </si>
  <si>
    <t>Total financiación</t>
  </si>
  <si>
    <t>Total Dispuesto</t>
  </si>
  <si>
    <t>Intereses</t>
  </si>
  <si>
    <t>Disposición</t>
  </si>
  <si>
    <t xml:space="preserve">Capital </t>
  </si>
  <si>
    <t>I.V.A.</t>
  </si>
  <si>
    <t>Constitución</t>
  </si>
  <si>
    <t>pagados</t>
  </si>
  <si>
    <t>Situación inicial</t>
  </si>
  <si>
    <t>TABLAS DE AMORTIZACION DE PRESTAMOS</t>
  </si>
  <si>
    <t>Datos iniciales</t>
  </si>
  <si>
    <t>Contrato</t>
  </si>
  <si>
    <t>Monto</t>
  </si>
  <si>
    <t>Opción de Compra</t>
  </si>
  <si>
    <t>Tasa de interés anual</t>
  </si>
  <si>
    <t>Plazo en años</t>
  </si>
  <si>
    <t>Pagos por año</t>
  </si>
  <si>
    <t>Meses carencia</t>
  </si>
  <si>
    <t>Vencimiento 1er pago</t>
  </si>
  <si>
    <t>Numero de cuotas</t>
  </si>
  <si>
    <t>Tipo mensual equivalente a % anual</t>
  </si>
  <si>
    <t>Tipo mensual equiva-lente a % anual</t>
  </si>
  <si>
    <t>Valor actual</t>
  </si>
  <si>
    <t>Cuota constante</t>
  </si>
  <si>
    <t>Cuota neta constante</t>
  </si>
  <si>
    <t>Gastos de Constitución</t>
  </si>
  <si>
    <t>Intereses primer período</t>
  </si>
  <si>
    <t>Amortización 1er período</t>
  </si>
  <si>
    <t>Cuota bruta constante</t>
  </si>
  <si>
    <t>Nº cuota</t>
  </si>
  <si>
    <t>Fecha del pago</t>
  </si>
  <si>
    <t>Saldo inicial</t>
  </si>
  <si>
    <t>Capital amortizado</t>
  </si>
  <si>
    <t>Capital pendiente</t>
  </si>
  <si>
    <t>Interés acumulado</t>
  </si>
  <si>
    <t>Total amortizado</t>
  </si>
  <si>
    <t>Amortización de préstamos a Corto Plazo</t>
  </si>
  <si>
    <t>Fecha informe</t>
  </si>
  <si>
    <t>Financiacion inicial</t>
  </si>
  <si>
    <t>primer año</t>
  </si>
  <si>
    <t>Amortización en los tres primeros años:</t>
  </si>
  <si>
    <t>Total amotizado</t>
  </si>
  <si>
    <t xml:space="preserve">Financiación:
</t>
  </si>
  <si>
    <t>Total otros prestamos no financieros</t>
  </si>
  <si>
    <t xml:space="preserve">Total Acreedores comerciales </t>
  </si>
  <si>
    <t>Plazo de pago</t>
  </si>
  <si>
    <t>nº de cuotas</t>
  </si>
  <si>
    <t>nª  Cuotas por año</t>
  </si>
  <si>
    <t>Importe cuota</t>
  </si>
  <si>
    <t>Vto 1er Pago</t>
  </si>
  <si>
    <t>Fecha de pago</t>
  </si>
  <si>
    <t>Dispuesto inicialmente</t>
  </si>
  <si>
    <t>Total dispuesto 1er año</t>
  </si>
  <si>
    <t>Total dispuesto 2 año</t>
  </si>
  <si>
    <t>Total dispuesto 3er año</t>
  </si>
  <si>
    <t>Total dispuesto 4º año</t>
  </si>
  <si>
    <t>Total pagado 1er año</t>
  </si>
  <si>
    <t>Total pagado 2 año</t>
  </si>
  <si>
    <t>Total pagado 3er año</t>
  </si>
  <si>
    <t>Total pagado 4º año</t>
  </si>
  <si>
    <t>Disposiciones</t>
  </si>
  <si>
    <t>Amortizaciones</t>
  </si>
  <si>
    <t>Detalle de cuotas</t>
  </si>
  <si>
    <t>Socios</t>
  </si>
  <si>
    <t>Importe Cuota</t>
  </si>
  <si>
    <t>Plan de Inversión: 3 primeros años de actividad</t>
  </si>
  <si>
    <t>(Evolución del activo)</t>
  </si>
  <si>
    <t>Estimación Inicial</t>
  </si>
  <si>
    <t>Año  2</t>
  </si>
  <si>
    <t>Inmovilizado:</t>
  </si>
  <si>
    <t xml:space="preserve">   Inmovilizado Material</t>
  </si>
  <si>
    <t xml:space="preserve">           Amortización Inmovilizado Material</t>
  </si>
  <si>
    <t xml:space="preserve">   Inmovilizado Intangible</t>
  </si>
  <si>
    <t xml:space="preserve">           Amortización del Inmovilizado Intangible</t>
  </si>
  <si>
    <t xml:space="preserve">   Inmovilizado financiero</t>
  </si>
  <si>
    <t>Circulante:</t>
  </si>
  <si>
    <t xml:space="preserve">    Existencias</t>
  </si>
  <si>
    <t xml:space="preserve">    Realizable</t>
  </si>
  <si>
    <t xml:space="preserve">    Tesorería</t>
  </si>
  <si>
    <t>Total Circulante:</t>
  </si>
  <si>
    <t>Presupuesto de ventas</t>
  </si>
  <si>
    <t>Previsión a tres años:</t>
  </si>
  <si>
    <t>1er. año</t>
  </si>
  <si>
    <t>3er. año</t>
  </si>
  <si>
    <t>Ventas de productos</t>
  </si>
  <si>
    <t>Total ventas</t>
  </si>
  <si>
    <t>Total unidades:</t>
  </si>
  <si>
    <t>Total Euros:</t>
  </si>
  <si>
    <t>Ventas</t>
  </si>
  <si>
    <t>Nota:
En el presente informe no aparece reflejada la compra de existencias iniciales de mercancías, para no distorsionar el análisis de la evolución del negocio.</t>
  </si>
  <si>
    <t>MARGEN BRUTO</t>
  </si>
  <si>
    <t>Estimación de costes variables:</t>
  </si>
  <si>
    <t>Producto/Servicio</t>
  </si>
  <si>
    <t>Compras de mercancías o materias primas</t>
  </si>
  <si>
    <t>Costes directos imputables a los productos/ servicios</t>
  </si>
  <si>
    <t xml:space="preserve">Totales
</t>
  </si>
  <si>
    <t>IVA</t>
  </si>
  <si>
    <t>Total coste productos:</t>
  </si>
  <si>
    <t>% sobre ventas</t>
  </si>
  <si>
    <t>Totales</t>
  </si>
  <si>
    <t>Total costes variables s/ ventas:</t>
  </si>
  <si>
    <t>Total costes variables:</t>
  </si>
  <si>
    <t>Estructura de márgenes y costes:</t>
  </si>
  <si>
    <t>% s/tot</t>
  </si>
  <si>
    <t>% de con-</t>
  </si>
  <si>
    <t>ventas</t>
  </si>
  <si>
    <t>Costes</t>
  </si>
  <si>
    <t>coste</t>
  </si>
  <si>
    <t xml:space="preserve">Margen  </t>
  </si>
  <si>
    <t xml:space="preserve">tribución </t>
  </si>
  <si>
    <t>Estimación de costes variables</t>
  </si>
  <si>
    <t>Compras de mercancías o materias primas:</t>
  </si>
  <si>
    <t>Total coste de compras</t>
  </si>
  <si>
    <t>Otros costes directos imputables a los productos o servicios:</t>
  </si>
  <si>
    <t>Total otros costes directos imputables a los productos o servicios:</t>
  </si>
  <si>
    <t>Compras de existencias</t>
  </si>
  <si>
    <t>valor fin año</t>
  </si>
  <si>
    <t>Total+IVA (para empresas que no repercuten)</t>
  </si>
  <si>
    <t>Total otros costes directos imputables a los productos o servicios</t>
  </si>
  <si>
    <t>Política de Cobros y de Pagos de la Empresa</t>
  </si>
  <si>
    <t>Cobros por Ventas</t>
  </si>
  <si>
    <t>Ventas del período:</t>
  </si>
  <si>
    <t>Plazos de cobro:</t>
  </si>
  <si>
    <t>Contado</t>
  </si>
  <si>
    <t>Aplazado meses:</t>
  </si>
  <si>
    <t>Total cobrado:</t>
  </si>
  <si>
    <t>Saldo final de clientes:</t>
  </si>
  <si>
    <t>Total pagado:</t>
  </si>
  <si>
    <t>Aplazado compras iniciales:</t>
  </si>
  <si>
    <t>Saldo de proveedores</t>
  </si>
  <si>
    <t>Saldo final de proveedores</t>
  </si>
  <si>
    <t xml:space="preserve">   Total</t>
  </si>
  <si>
    <t>Ventas del período</t>
  </si>
  <si>
    <t>Ventas con IVA</t>
  </si>
  <si>
    <t>Saldo de clientes</t>
  </si>
  <si>
    <t>Pagos por Compras</t>
  </si>
  <si>
    <t>Compras del periodo</t>
  </si>
  <si>
    <t>IVA de las compras</t>
  </si>
  <si>
    <t>Compras con IVA</t>
  </si>
  <si>
    <t>Saldo de Proveedores</t>
  </si>
  <si>
    <t>Saldo de Proveedores: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</si>
</sst>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 _p_t_a_-;\-* #,##0\ _p_t_a_-;_-* &quot;-&quot;\ _p_t_a_-;_-@_-"/>
    <numFmt numFmtId="165" formatCode="_-* #,##0.00\ _p_t_a_-;\-* #,##0.00\ _p_t_a_-;_-* &quot;-&quot;??\ _p_t_a_-;_-@_-"/>
    <numFmt numFmtId="166" formatCode="0.000000"/>
    <numFmt numFmtId="167" formatCode="0.0%"/>
    <numFmt numFmtId="168" formatCode="#,##0.00_ ;[Red]\-#,##0.00\ "/>
    <numFmt numFmtId="169" formatCode="_-* #,##0.00\ [$€]_-;\-* #,##0.00\ [$€]_-;_-* &quot;-&quot;??\ [$€]_-;_-@_-"/>
    <numFmt numFmtId="170" formatCode="#,##0.0"/>
    <numFmt numFmtId="171" formatCode="#,##0_ ;\-#,##0\ "/>
    <numFmt numFmtId="172" formatCode="#,##0_ ;[Red]\-#,##0\ "/>
    <numFmt numFmtId="173" formatCode="#,##0.0000"/>
    <numFmt numFmtId="174" formatCode="dd\-mm\-yy"/>
    <numFmt numFmtId="175" formatCode="d\-m\-yyyy"/>
    <numFmt numFmtId="176" formatCode="#,##0.000000000000000000000000000000_ ;[Red]\-#,##0.000000000000000000000000000000\ "/>
    <numFmt numFmtId="177" formatCode="#,##0.000000000000000"/>
    <numFmt numFmtId="178" formatCode="dd\-mm\-yy;@"/>
    <numFmt numFmtId="179" formatCode="d\-m\-yy;@"/>
    <numFmt numFmtId="180" formatCode="[$-C0A]mmm\-yy;@"/>
    <numFmt numFmtId="181" formatCode="[$-C0A]d\-mmm\-yy;@"/>
  </numFmts>
  <fonts count="106" x14ac:knownFonts="1">
    <font>
      <sz val="10"/>
      <name val="Arial"/>
    </font>
    <font>
      <sz val="10"/>
      <name val="Arial"/>
      <family val="2"/>
    </font>
    <font>
      <b/>
      <sz val="10"/>
      <name val="Arial"/>
      <family val="2"/>
    </font>
    <font>
      <b/>
      <sz val="12"/>
      <name val="Arial"/>
      <family val="2"/>
    </font>
    <font>
      <u/>
      <sz val="10"/>
      <color indexed="12"/>
      <name val="Arial"/>
      <family val="2"/>
    </font>
    <font>
      <sz val="12"/>
      <name val="Times New Roman"/>
      <family val="1"/>
    </font>
    <font>
      <b/>
      <sz val="10"/>
      <name val="Times New Roman"/>
      <family val="1"/>
    </font>
    <font>
      <sz val="10"/>
      <name val="Times New Roman"/>
      <family val="1"/>
    </font>
    <font>
      <b/>
      <sz val="20"/>
      <name val="Arial"/>
      <family val="2"/>
    </font>
    <font>
      <sz val="8"/>
      <name val="Arial"/>
      <family val="2"/>
    </font>
    <font>
      <b/>
      <sz val="8"/>
      <name val="Arial"/>
      <family val="2"/>
    </font>
    <font>
      <i/>
      <sz val="8"/>
      <name val="Arial"/>
      <family val="2"/>
    </font>
    <font>
      <b/>
      <sz val="14"/>
      <name val="Arial"/>
      <family val="2"/>
    </font>
    <font>
      <sz val="16"/>
      <name val="Arial"/>
      <family val="2"/>
    </font>
    <font>
      <u/>
      <sz val="8"/>
      <name val="Arial"/>
      <family val="2"/>
    </font>
    <font>
      <sz val="12"/>
      <name val="Arial"/>
      <family val="2"/>
    </font>
    <font>
      <sz val="14"/>
      <name val="Arial"/>
      <family val="2"/>
    </font>
    <font>
      <i/>
      <sz val="10"/>
      <color indexed="10"/>
      <name val="Arial"/>
      <family val="2"/>
    </font>
    <font>
      <sz val="10"/>
      <name val="Arial"/>
      <family val="2"/>
    </font>
    <font>
      <b/>
      <sz val="10"/>
      <color indexed="8"/>
      <name val="Arial"/>
      <family val="2"/>
    </font>
    <font>
      <b/>
      <sz val="18"/>
      <name val="Arial"/>
      <family val="2"/>
    </font>
    <font>
      <b/>
      <sz val="12"/>
      <color indexed="10"/>
      <name val="Arial"/>
      <family val="2"/>
    </font>
    <font>
      <b/>
      <sz val="12"/>
      <color indexed="8"/>
      <name val="Arial"/>
      <family val="2"/>
    </font>
    <font>
      <sz val="10"/>
      <color indexed="8"/>
      <name val="Arial"/>
      <family val="2"/>
    </font>
    <font>
      <sz val="12"/>
      <color indexed="8"/>
      <name val="Arial"/>
      <family val="2"/>
    </font>
    <font>
      <sz val="8"/>
      <color indexed="8"/>
      <name val="Arial"/>
      <family val="2"/>
    </font>
    <font>
      <b/>
      <sz val="16"/>
      <color indexed="8"/>
      <name val="Arial"/>
      <family val="2"/>
    </font>
    <font>
      <b/>
      <sz val="14"/>
      <color indexed="8"/>
      <name val="Arial"/>
      <family val="2"/>
    </font>
    <font>
      <b/>
      <sz val="8"/>
      <color indexed="8"/>
      <name val="Arial"/>
      <family val="2"/>
    </font>
    <font>
      <sz val="6"/>
      <name val="Arial"/>
      <family val="2"/>
    </font>
    <font>
      <sz val="10"/>
      <color indexed="60"/>
      <name val="Arial"/>
      <family val="2"/>
    </font>
    <font>
      <i/>
      <sz val="10"/>
      <color indexed="60"/>
      <name val="Times New Roman"/>
      <family val="1"/>
    </font>
    <font>
      <b/>
      <sz val="12"/>
      <color indexed="60"/>
      <name val="Arial"/>
      <family val="2"/>
    </font>
    <font>
      <b/>
      <sz val="11"/>
      <color indexed="60"/>
      <name val="Arial"/>
      <family val="2"/>
    </font>
    <font>
      <sz val="10"/>
      <color indexed="12"/>
      <name val="Arial"/>
      <family val="2"/>
    </font>
    <font>
      <sz val="8"/>
      <color indexed="12"/>
      <name val="Arial"/>
      <family val="2"/>
    </font>
    <font>
      <sz val="8"/>
      <color indexed="81"/>
      <name val="Tahoma"/>
      <family val="2"/>
    </font>
    <font>
      <b/>
      <sz val="8"/>
      <color indexed="81"/>
      <name val="Tahoma"/>
      <family val="2"/>
    </font>
    <font>
      <b/>
      <sz val="9"/>
      <color indexed="81"/>
      <name val="Arial"/>
      <family val="2"/>
    </font>
    <font>
      <i/>
      <sz val="8"/>
      <color indexed="60"/>
      <name val="Arial"/>
      <family val="2"/>
    </font>
    <font>
      <b/>
      <sz val="11"/>
      <name val="Arial"/>
      <family val="2"/>
    </font>
    <font>
      <b/>
      <sz val="12"/>
      <color indexed="16"/>
      <name val="Arial"/>
      <family val="2"/>
    </font>
    <font>
      <sz val="14"/>
      <color indexed="16"/>
      <name val="Arial"/>
      <family val="2"/>
    </font>
    <font>
      <sz val="7"/>
      <name val="Arial"/>
      <family val="2"/>
    </font>
    <font>
      <b/>
      <sz val="7"/>
      <name val="Arial"/>
      <family val="2"/>
    </font>
    <font>
      <sz val="14"/>
      <color indexed="60"/>
      <name val="Arial"/>
      <family val="2"/>
    </font>
    <font>
      <sz val="11"/>
      <name val="Arial"/>
      <family val="2"/>
    </font>
    <font>
      <sz val="8"/>
      <color indexed="60"/>
      <name val="Arial"/>
      <family val="2"/>
    </font>
    <font>
      <b/>
      <sz val="14"/>
      <color indexed="16"/>
      <name val="Arial"/>
      <family val="2"/>
    </font>
    <font>
      <sz val="14"/>
      <color indexed="10"/>
      <name val="Arial"/>
      <family val="2"/>
    </font>
    <font>
      <b/>
      <sz val="9"/>
      <color indexed="60"/>
      <name val="Arial"/>
      <family val="2"/>
    </font>
    <font>
      <b/>
      <sz val="16"/>
      <color indexed="10"/>
      <name val="Arial"/>
      <family val="2"/>
    </font>
    <font>
      <b/>
      <u/>
      <sz val="10"/>
      <name val="Arial"/>
      <family val="2"/>
    </font>
    <font>
      <b/>
      <sz val="10"/>
      <color indexed="60"/>
      <name val="Arial"/>
      <family val="2"/>
    </font>
    <font>
      <b/>
      <sz val="14"/>
      <color indexed="60"/>
      <name val="Arial"/>
      <family val="2"/>
    </font>
    <font>
      <b/>
      <sz val="10"/>
      <color indexed="16"/>
      <name val="Arial"/>
      <family val="2"/>
    </font>
    <font>
      <b/>
      <sz val="9"/>
      <name val="Arial"/>
      <family val="2"/>
    </font>
    <font>
      <sz val="9"/>
      <name val="Arial"/>
      <family val="2"/>
    </font>
    <font>
      <b/>
      <u/>
      <sz val="9"/>
      <color indexed="81"/>
      <name val="Arial"/>
      <family val="2"/>
    </font>
    <font>
      <sz val="8"/>
      <color indexed="10"/>
      <name val="Arial"/>
      <family val="2"/>
    </font>
    <font>
      <sz val="10"/>
      <color indexed="10"/>
      <name val="Arial"/>
      <family val="2"/>
    </font>
    <font>
      <sz val="10"/>
      <color indexed="8"/>
      <name val="Arial"/>
      <family val="2"/>
    </font>
    <font>
      <sz val="11"/>
      <color indexed="8"/>
      <name val="Arial"/>
      <family val="2"/>
    </font>
    <font>
      <b/>
      <sz val="11"/>
      <color indexed="8"/>
      <name val="Arial"/>
      <family val="2"/>
    </font>
    <font>
      <b/>
      <sz val="10"/>
      <color indexed="10"/>
      <name val="Arial"/>
      <family val="2"/>
    </font>
    <font>
      <sz val="10"/>
      <color indexed="22"/>
      <name val="Arial"/>
      <family val="2"/>
    </font>
    <font>
      <sz val="8"/>
      <color indexed="22"/>
      <name val="Arial"/>
      <family val="2"/>
    </font>
    <font>
      <b/>
      <i/>
      <sz val="8"/>
      <color indexed="60"/>
      <name val="Arial"/>
      <family val="2"/>
    </font>
    <font>
      <sz val="8"/>
      <name val="Arial"/>
      <family val="2"/>
    </font>
    <font>
      <b/>
      <sz val="8"/>
      <color indexed="22"/>
      <name val="Arial"/>
      <family val="2"/>
    </font>
    <font>
      <sz val="10"/>
      <color indexed="22"/>
      <name val="Arial"/>
      <family val="2"/>
    </font>
    <font>
      <sz val="8"/>
      <color indexed="55"/>
      <name val="Arial"/>
      <family val="2"/>
    </font>
    <font>
      <sz val="10"/>
      <color indexed="53"/>
      <name val="Arial"/>
      <family val="2"/>
    </font>
    <font>
      <sz val="8"/>
      <color indexed="22"/>
      <name val="Arial"/>
      <family val="2"/>
    </font>
    <font>
      <b/>
      <sz val="10"/>
      <color indexed="22"/>
      <name val="Arial"/>
      <family val="2"/>
    </font>
    <font>
      <b/>
      <sz val="11"/>
      <color indexed="22"/>
      <name val="Arial"/>
      <family val="2"/>
    </font>
    <font>
      <sz val="7"/>
      <color indexed="22"/>
      <name val="Arial"/>
      <family val="2"/>
    </font>
    <font>
      <sz val="10"/>
      <color indexed="52"/>
      <name val="Arial"/>
      <family val="2"/>
    </font>
    <font>
      <sz val="10"/>
      <color indexed="55"/>
      <name val="Arial"/>
      <family val="2"/>
    </font>
    <font>
      <sz val="10"/>
      <color indexed="9"/>
      <name val="Arial"/>
      <family val="2"/>
    </font>
    <font>
      <b/>
      <sz val="12"/>
      <color indexed="22"/>
      <name val="Arial"/>
      <family val="2"/>
    </font>
    <font>
      <sz val="12"/>
      <color indexed="22"/>
      <name val="Arial"/>
      <family val="2"/>
    </font>
    <font>
      <b/>
      <u/>
      <sz val="8"/>
      <color indexed="81"/>
      <name val="Tahoma"/>
      <family val="2"/>
    </font>
    <font>
      <i/>
      <sz val="10"/>
      <color indexed="60"/>
      <name val="Arial"/>
      <family val="2"/>
    </font>
    <font>
      <b/>
      <i/>
      <sz val="10"/>
      <color indexed="60"/>
      <name val="Arial"/>
      <family val="2"/>
    </font>
    <font>
      <i/>
      <sz val="9"/>
      <color indexed="60"/>
      <name val="Arial"/>
      <family val="2"/>
    </font>
    <font>
      <b/>
      <i/>
      <sz val="9"/>
      <color indexed="60"/>
      <name val="Arial"/>
      <family val="2"/>
    </font>
    <font>
      <i/>
      <sz val="10"/>
      <name val="Arial"/>
      <family val="2"/>
    </font>
    <font>
      <b/>
      <i/>
      <sz val="10"/>
      <name val="Arial"/>
      <family val="2"/>
    </font>
    <font>
      <u/>
      <sz val="8"/>
      <color indexed="12"/>
      <name val="Arial"/>
      <family val="2"/>
    </font>
    <font>
      <sz val="9"/>
      <color indexed="81"/>
      <name val="Tahoma"/>
      <family val="2"/>
    </font>
    <font>
      <b/>
      <sz val="9"/>
      <color indexed="81"/>
      <name val="Tahoma"/>
      <family val="2"/>
    </font>
    <font>
      <sz val="9"/>
      <color indexed="81"/>
      <name val="Arial"/>
      <family val="2"/>
    </font>
    <font>
      <b/>
      <i/>
      <sz val="12"/>
      <color rgb="FFFF0000"/>
      <name val="Arial"/>
      <family val="2"/>
    </font>
    <font>
      <sz val="6"/>
      <color theme="0"/>
      <name val="Arial"/>
      <family val="2"/>
    </font>
    <font>
      <i/>
      <sz val="9"/>
      <color theme="9" tint="-0.499984740745262"/>
      <name val="Arial"/>
      <family val="2"/>
    </font>
    <font>
      <sz val="8"/>
      <color theme="0" tint="-0.249977111117893"/>
      <name val="Arial"/>
      <family val="2"/>
    </font>
    <font>
      <i/>
      <sz val="10"/>
      <color theme="9" tint="-0.499984740745262"/>
      <name val="Arial"/>
      <family val="2"/>
    </font>
    <font>
      <b/>
      <sz val="24"/>
      <color theme="3" tint="0.39997558519241921"/>
      <name val="Arial"/>
      <family val="2"/>
    </font>
    <font>
      <sz val="10"/>
      <color theme="3" tint="0.39997558519241921"/>
      <name val="Arial"/>
      <family val="2"/>
    </font>
    <font>
      <sz val="8"/>
      <color theme="9" tint="-0.499984740745262"/>
      <name val="Arial"/>
      <family val="2"/>
    </font>
    <font>
      <sz val="10"/>
      <color theme="0" tint="-0.249977111117893"/>
      <name val="Arial"/>
      <family val="2"/>
    </font>
    <font>
      <sz val="10"/>
      <color theme="0" tint="-0.34998626667073579"/>
      <name val="Arial"/>
      <family val="2"/>
    </font>
    <font>
      <sz val="18"/>
      <color theme="3" tint="-0.249977111117893"/>
      <name val="Arial"/>
      <family val="2"/>
    </font>
    <font>
      <sz val="10"/>
      <color theme="9" tint="-0.499984740745262"/>
      <name val="Arial"/>
      <family val="2"/>
    </font>
    <font>
      <sz val="11"/>
      <color theme="9" tint="-0.499984740745262"/>
      <name val="Arial"/>
      <family val="2"/>
    </font>
  </fonts>
  <fills count="18">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9"/>
        <bgColor indexed="9"/>
      </patternFill>
    </fill>
    <fill>
      <patternFill patternType="solid">
        <fgColor indexed="41"/>
        <bgColor indexed="64"/>
      </patternFill>
    </fill>
    <fill>
      <patternFill patternType="solid">
        <fgColor indexed="26"/>
        <bgColor indexed="26"/>
      </patternFill>
    </fill>
    <fill>
      <patternFill patternType="solid">
        <fgColor indexed="26"/>
        <bgColor indexed="64"/>
      </patternFill>
    </fill>
    <fill>
      <patternFill patternType="solid">
        <fgColor indexed="27"/>
        <bgColor indexed="27"/>
      </patternFill>
    </fill>
    <fill>
      <patternFill patternType="solid">
        <fgColor indexed="9"/>
        <bgColor indexed="64"/>
      </patternFill>
    </fill>
    <fill>
      <patternFill patternType="solid">
        <fgColor indexed="42"/>
        <bgColor indexed="64"/>
      </patternFill>
    </fill>
    <fill>
      <patternFill patternType="solid">
        <fgColor indexed="55"/>
        <bgColor indexed="64"/>
      </patternFill>
    </fill>
    <fill>
      <patternFill patternType="solid">
        <fgColor indexed="9"/>
        <bgColor indexed="26"/>
      </patternFill>
    </fill>
    <fill>
      <patternFill patternType="solid">
        <fgColor theme="0"/>
        <bgColor indexed="64"/>
      </patternFill>
    </fill>
    <fill>
      <patternFill patternType="solid">
        <fgColor rgb="FFCCECFF"/>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00"/>
        <bgColor indexed="64"/>
      </patternFill>
    </fill>
  </fills>
  <borders count="155">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double">
        <color indexed="64"/>
      </left>
      <right/>
      <top style="thin">
        <color indexed="64"/>
      </top>
      <bottom style="double">
        <color indexed="64"/>
      </bottom>
      <diagonal/>
    </border>
    <border>
      <left style="double">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top/>
      <bottom style="medium">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double">
        <color indexed="64"/>
      </top>
      <bottom style="double">
        <color indexed="64"/>
      </bottom>
      <diagonal/>
    </border>
    <border>
      <left/>
      <right/>
      <top style="double">
        <color indexed="64"/>
      </top>
      <bottom style="double">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double">
        <color indexed="64"/>
      </top>
      <bottom style="thin">
        <color indexed="64"/>
      </bottom>
      <diagonal/>
    </border>
    <border>
      <left style="medium">
        <color indexed="64"/>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medium">
        <color indexed="64"/>
      </left>
      <right style="double">
        <color indexed="64"/>
      </right>
      <top/>
      <bottom style="double">
        <color indexed="64"/>
      </bottom>
      <diagonal/>
    </border>
    <border>
      <left style="double">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double">
        <color indexed="64"/>
      </right>
      <top style="thin">
        <color indexed="64"/>
      </top>
      <bottom/>
      <diagonal/>
    </border>
    <border>
      <left/>
      <right style="thin">
        <color indexed="64"/>
      </right>
      <top/>
      <bottom style="medium">
        <color indexed="64"/>
      </bottom>
      <diagonal/>
    </border>
    <border>
      <left style="medium">
        <color indexed="64"/>
      </left>
      <right style="double">
        <color indexed="64"/>
      </right>
      <top/>
      <bottom style="medium">
        <color indexed="64"/>
      </bottom>
      <diagonal/>
    </border>
    <border>
      <left style="double">
        <color indexed="64"/>
      </left>
      <right style="thin">
        <color indexed="64"/>
      </right>
      <top style="double">
        <color indexed="64"/>
      </top>
      <bottom/>
      <diagonal/>
    </border>
    <border>
      <left style="double">
        <color indexed="64"/>
      </left>
      <right/>
      <top style="double">
        <color indexed="64"/>
      </top>
      <bottom/>
      <diagonal/>
    </border>
    <border>
      <left style="double">
        <color indexed="64"/>
      </left>
      <right/>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
      <left/>
      <right style="thick">
        <color indexed="64"/>
      </right>
      <top style="medium">
        <color indexed="64"/>
      </top>
      <bottom style="medium">
        <color indexed="64"/>
      </bottom>
      <diagonal/>
    </border>
    <border>
      <left/>
      <right/>
      <top style="medium">
        <color indexed="64"/>
      </top>
      <bottom style="double">
        <color indexed="64"/>
      </bottom>
      <diagonal/>
    </border>
    <border>
      <left/>
      <right style="thick">
        <color indexed="64"/>
      </right>
      <top style="medium">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style="double">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bottom style="thin">
        <color indexed="64"/>
      </bottom>
      <diagonal/>
    </border>
    <border>
      <left style="double">
        <color indexed="64"/>
      </left>
      <right/>
      <top style="double">
        <color indexed="64"/>
      </top>
      <bottom style="thin">
        <color indexed="64"/>
      </bottom>
      <diagonal/>
    </border>
    <border>
      <left/>
      <right/>
      <top style="double">
        <color indexed="64"/>
      </top>
      <bottom/>
      <diagonal/>
    </border>
    <border>
      <left/>
      <right style="double">
        <color indexed="64"/>
      </right>
      <top style="double">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double">
        <color indexed="64"/>
      </right>
      <top style="double">
        <color indexed="64"/>
      </top>
      <bottom/>
      <diagonal/>
    </border>
    <border>
      <left/>
      <right style="double">
        <color indexed="64"/>
      </right>
      <top/>
      <bottom/>
      <diagonal/>
    </border>
    <border>
      <left style="medium">
        <color indexed="64"/>
      </left>
      <right/>
      <top style="thin">
        <color indexed="64"/>
      </top>
      <bottom style="thin">
        <color indexed="64"/>
      </bottom>
      <diagonal/>
    </border>
    <border>
      <left style="double">
        <color indexed="64"/>
      </left>
      <right/>
      <top style="thin">
        <color indexed="64"/>
      </top>
      <bottom style="medium">
        <color indexed="64"/>
      </bottom>
      <diagonal/>
    </border>
    <border>
      <left/>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medium">
        <color indexed="64"/>
      </top>
      <bottom/>
      <diagonal/>
    </border>
    <border>
      <left style="thin">
        <color indexed="64"/>
      </left>
      <right style="double">
        <color indexed="64"/>
      </right>
      <top style="double">
        <color indexed="64"/>
      </top>
      <bottom/>
      <diagonal/>
    </border>
    <border>
      <left/>
      <right style="double">
        <color indexed="64"/>
      </right>
      <top/>
      <bottom style="thin">
        <color indexed="64"/>
      </bottom>
      <diagonal/>
    </border>
    <border>
      <left style="medium">
        <color indexed="64"/>
      </left>
      <right style="thin">
        <color indexed="64"/>
      </right>
      <top/>
      <bottom style="thin">
        <color indexed="64"/>
      </bottom>
      <diagonal/>
    </border>
    <border>
      <left/>
      <right style="double">
        <color indexed="64"/>
      </right>
      <top/>
      <bottom style="double">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style="double">
        <color indexed="64"/>
      </top>
      <bottom/>
      <diagonal/>
    </border>
    <border>
      <left style="thin">
        <color indexed="64"/>
      </left>
      <right style="medium">
        <color indexed="64"/>
      </right>
      <top/>
      <bottom style="thin">
        <color indexed="64"/>
      </bottom>
      <diagonal/>
    </border>
    <border>
      <left style="thin">
        <color indexed="64"/>
      </left>
      <right style="double">
        <color indexed="64"/>
      </right>
      <top/>
      <bottom/>
      <diagonal/>
    </border>
    <border>
      <left style="thin">
        <color indexed="64"/>
      </left>
      <right style="thin">
        <color indexed="64"/>
      </right>
      <top/>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diagonal/>
    </border>
    <border>
      <left/>
      <right style="double">
        <color indexed="64"/>
      </right>
      <top style="thin">
        <color indexed="64"/>
      </top>
      <bottom/>
      <diagonal/>
    </border>
    <border>
      <left/>
      <right/>
      <top style="thin">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22"/>
      </left>
      <right style="medium">
        <color indexed="22"/>
      </right>
      <top style="medium">
        <color indexed="22"/>
      </top>
      <bottom style="medium">
        <color indexed="22"/>
      </bottom>
      <diagonal/>
    </border>
    <border>
      <left/>
      <right style="medium">
        <color indexed="22"/>
      </right>
      <top style="medium">
        <color indexed="22"/>
      </top>
      <bottom style="medium">
        <color indexed="22"/>
      </bottom>
      <diagonal/>
    </border>
    <border>
      <left/>
      <right style="double">
        <color indexed="64"/>
      </right>
      <top style="thin">
        <color indexed="64"/>
      </top>
      <bottom style="medium">
        <color indexed="64"/>
      </bottom>
      <diagonal/>
    </border>
    <border>
      <left/>
      <right style="thin">
        <color indexed="64"/>
      </right>
      <top style="thin">
        <color indexed="64"/>
      </top>
      <bottom style="double">
        <color indexed="64"/>
      </bottom>
      <diagonal/>
    </border>
    <border>
      <left/>
      <right style="double">
        <color indexed="64"/>
      </right>
      <top/>
      <bottom style="medium">
        <color indexed="64"/>
      </bottom>
      <diagonal/>
    </border>
    <border>
      <left/>
      <right style="double">
        <color indexed="64"/>
      </right>
      <top style="medium">
        <color indexed="64"/>
      </top>
      <bottom style="medium">
        <color indexed="64"/>
      </bottom>
      <diagonal/>
    </border>
    <border>
      <left/>
      <right style="double">
        <color indexed="64"/>
      </right>
      <top style="medium">
        <color indexed="64"/>
      </top>
      <bottom style="double">
        <color indexed="64"/>
      </bottom>
      <diagonal/>
    </border>
    <border>
      <left style="double">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ck">
        <color indexed="64"/>
      </right>
      <top style="double">
        <color indexed="64"/>
      </top>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double">
        <color indexed="64"/>
      </right>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bottom style="double">
        <color indexed="64"/>
      </bottom>
      <diagonal/>
    </border>
    <border>
      <left/>
      <right style="medium">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style="thin">
        <color indexed="22"/>
      </left>
      <right style="thin">
        <color indexed="22"/>
      </right>
      <top style="thin">
        <color indexed="22"/>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style="thick">
        <color indexed="64"/>
      </left>
      <right/>
      <top style="double">
        <color indexed="64"/>
      </top>
      <bottom/>
      <diagonal/>
    </border>
    <border>
      <left style="medium">
        <color indexed="64"/>
      </left>
      <right/>
      <top style="thin">
        <color indexed="64"/>
      </top>
      <bottom/>
      <diagonal/>
    </border>
  </borders>
  <cellStyleXfs count="6">
    <xf numFmtId="0" fontId="0" fillId="0" borderId="0"/>
    <xf numFmtId="169" fontId="1" fillId="0" borderId="0" applyFont="0" applyFill="0" applyBorder="0" applyAlignment="0" applyProtection="0"/>
    <xf numFmtId="0" fontId="4"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469">
    <xf numFmtId="0" fontId="0" fillId="0" borderId="0" xfId="0"/>
    <xf numFmtId="0" fontId="2" fillId="0" borderId="0" xfId="0" applyFont="1"/>
    <xf numFmtId="0" fontId="3" fillId="0" borderId="0" xfId="0" applyFont="1"/>
    <xf numFmtId="0" fontId="5" fillId="0" borderId="0" xfId="0" applyFont="1"/>
    <xf numFmtId="0" fontId="7" fillId="0" borderId="0" xfId="0" applyFont="1"/>
    <xf numFmtId="0" fontId="6" fillId="0" borderId="0" xfId="0" applyFont="1"/>
    <xf numFmtId="3" fontId="7" fillId="0" borderId="0" xfId="0" applyNumberFormat="1" applyFont="1"/>
    <xf numFmtId="0" fontId="9" fillId="0" borderId="0" xfId="0" applyFont="1"/>
    <xf numFmtId="0" fontId="10" fillId="0" borderId="0" xfId="0" applyFont="1"/>
    <xf numFmtId="3" fontId="9" fillId="0" borderId="0" xfId="0" applyNumberFormat="1" applyFont="1"/>
    <xf numFmtId="9" fontId="9" fillId="0" borderId="0" xfId="5" applyFont="1" applyFill="1" applyBorder="1" applyAlignment="1" applyProtection="1">
      <alignment horizontal="right"/>
    </xf>
    <xf numFmtId="9" fontId="9" fillId="0" borderId="0" xfId="0" applyNumberFormat="1" applyFont="1" applyAlignment="1">
      <alignment horizontal="center"/>
    </xf>
    <xf numFmtId="3" fontId="9" fillId="0" borderId="0" xfId="5" applyNumberFormat="1" applyFont="1" applyFill="1" applyBorder="1" applyAlignment="1" applyProtection="1">
      <alignment horizontal="right"/>
    </xf>
    <xf numFmtId="3" fontId="9" fillId="0" borderId="0" xfId="0" applyNumberFormat="1" applyFont="1" applyAlignment="1">
      <alignment horizontal="right"/>
    </xf>
    <xf numFmtId="3" fontId="9" fillId="0" borderId="0" xfId="0" applyNumberFormat="1" applyFont="1" applyAlignment="1">
      <alignment horizontal="center"/>
    </xf>
    <xf numFmtId="3" fontId="9" fillId="0" borderId="2" xfId="5" applyNumberFormat="1" applyFont="1" applyFill="1" applyBorder="1" applyAlignment="1" applyProtection="1">
      <alignment horizontal="right"/>
    </xf>
    <xf numFmtId="0" fontId="9" fillId="0" borderId="3" xfId="0" applyFont="1" applyBorder="1" applyAlignment="1">
      <alignment horizontal="left"/>
    </xf>
    <xf numFmtId="4" fontId="9" fillId="0" borderId="2" xfId="0" applyNumberFormat="1" applyFont="1" applyBorder="1" applyProtection="1">
      <protection locked="0"/>
    </xf>
    <xf numFmtId="9" fontId="9" fillId="0" borderId="2" xfId="5" applyFont="1" applyFill="1" applyBorder="1" applyAlignment="1" applyProtection="1">
      <alignment horizontal="center"/>
      <protection locked="0"/>
    </xf>
    <xf numFmtId="0" fontId="9" fillId="0" borderId="2" xfId="0" applyFont="1" applyBorder="1"/>
    <xf numFmtId="3" fontId="10" fillId="2" borderId="2" xfId="0" applyNumberFormat="1" applyFont="1" applyFill="1" applyBorder="1" applyAlignment="1">
      <alignment horizontal="center"/>
    </xf>
    <xf numFmtId="3" fontId="10" fillId="2" borderId="2" xfId="5" applyNumberFormat="1" applyFont="1" applyFill="1" applyBorder="1" applyAlignment="1" applyProtection="1">
      <alignment horizontal="center"/>
    </xf>
    <xf numFmtId="0" fontId="2" fillId="0" borderId="0" xfId="0" applyFont="1" applyAlignment="1">
      <alignment horizontal="left"/>
    </xf>
    <xf numFmtId="4" fontId="2" fillId="0" borderId="0" xfId="0" applyNumberFormat="1" applyFont="1" applyAlignment="1">
      <alignment horizontal="right"/>
    </xf>
    <xf numFmtId="9" fontId="10" fillId="2" borderId="4" xfId="0" applyNumberFormat="1" applyFont="1" applyFill="1" applyBorder="1" applyAlignment="1">
      <alignment horizontal="center"/>
    </xf>
    <xf numFmtId="0" fontId="10" fillId="3" borderId="2" xfId="0" applyFont="1" applyFill="1" applyBorder="1" applyAlignment="1">
      <alignment horizontal="left"/>
    </xf>
    <xf numFmtId="0" fontId="10" fillId="3" borderId="2" xfId="0" applyFont="1" applyFill="1" applyBorder="1"/>
    <xf numFmtId="0" fontId="10" fillId="0" borderId="0" xfId="0" applyFont="1" applyAlignment="1">
      <alignment horizontal="left"/>
    </xf>
    <xf numFmtId="0" fontId="16" fillId="0" borderId="0" xfId="0" applyFont="1"/>
    <xf numFmtId="4" fontId="0" fillId="0" borderId="0" xfId="0" applyNumberFormat="1"/>
    <xf numFmtId="0" fontId="0" fillId="0" borderId="5" xfId="0" applyBorder="1"/>
    <xf numFmtId="0" fontId="0" fillId="0" borderId="6" xfId="0" applyBorder="1"/>
    <xf numFmtId="0" fontId="17" fillId="0" borderId="0" xfId="0" applyFont="1"/>
    <xf numFmtId="4" fontId="0" fillId="0" borderId="7" xfId="0" applyNumberFormat="1" applyBorder="1"/>
    <xf numFmtId="4" fontId="2" fillId="0" borderId="0" xfId="0" applyNumberFormat="1" applyFont="1"/>
    <xf numFmtId="17" fontId="18" fillId="0" borderId="2" xfId="0" applyNumberFormat="1" applyFont="1" applyBorder="1"/>
    <xf numFmtId="3" fontId="18" fillId="0" borderId="2" xfId="0" applyNumberFormat="1" applyFont="1" applyBorder="1"/>
    <xf numFmtId="1" fontId="18" fillId="0" borderId="2" xfId="0" applyNumberFormat="1" applyFont="1" applyBorder="1"/>
    <xf numFmtId="0" fontId="18" fillId="0" borderId="3" xfId="0" applyFont="1" applyBorder="1"/>
    <xf numFmtId="3" fontId="18" fillId="0" borderId="8" xfId="0" applyNumberFormat="1" applyFont="1" applyBorder="1"/>
    <xf numFmtId="0" fontId="18" fillId="0" borderId="9" xfId="0" applyFont="1" applyBorder="1"/>
    <xf numFmtId="0" fontId="18" fillId="0" borderId="0" xfId="0" applyFont="1"/>
    <xf numFmtId="3" fontId="18" fillId="0" borderId="0" xfId="0" applyNumberFormat="1" applyFont="1"/>
    <xf numFmtId="1" fontId="18" fillId="0" borderId="0" xfId="0" applyNumberFormat="1" applyFont="1"/>
    <xf numFmtId="4" fontId="18" fillId="0" borderId="0" xfId="0" applyNumberFormat="1" applyFont="1"/>
    <xf numFmtId="0" fontId="18" fillId="0" borderId="10" xfId="0" applyFont="1" applyBorder="1"/>
    <xf numFmtId="17" fontId="18" fillId="0" borderId="4" xfId="0" applyNumberFormat="1" applyFont="1" applyBorder="1"/>
    <xf numFmtId="3" fontId="18" fillId="0" borderId="4" xfId="0" applyNumberFormat="1" applyFont="1" applyBorder="1"/>
    <xf numFmtId="1" fontId="18" fillId="0" borderId="4" xfId="0" applyNumberFormat="1" applyFont="1" applyBorder="1"/>
    <xf numFmtId="3" fontId="18" fillId="0" borderId="11" xfId="0" applyNumberFormat="1" applyFont="1" applyBorder="1"/>
    <xf numFmtId="0" fontId="0" fillId="0" borderId="7" xfId="0" applyBorder="1"/>
    <xf numFmtId="17" fontId="0" fillId="0" borderId="7" xfId="0" applyNumberFormat="1" applyBorder="1"/>
    <xf numFmtId="4" fontId="0" fillId="0" borderId="12" xfId="0" applyNumberFormat="1" applyBorder="1"/>
    <xf numFmtId="3" fontId="9" fillId="0" borderId="2" xfId="0" applyNumberFormat="1" applyFont="1" applyBorder="1"/>
    <xf numFmtId="3" fontId="9" fillId="0" borderId="2" xfId="0" applyNumberFormat="1" applyFont="1" applyBorder="1" applyProtection="1">
      <protection locked="0"/>
    </xf>
    <xf numFmtId="0" fontId="10" fillId="2" borderId="4" xfId="0" applyFont="1" applyFill="1" applyBorder="1"/>
    <xf numFmtId="3" fontId="10" fillId="2" borderId="4" xfId="0" applyNumberFormat="1" applyFont="1" applyFill="1" applyBorder="1" applyAlignment="1">
      <alignment horizontal="center"/>
    </xf>
    <xf numFmtId="2" fontId="18" fillId="0" borderId="0" xfId="0" applyNumberFormat="1" applyFont="1"/>
    <xf numFmtId="3" fontId="0" fillId="0" borderId="0" xfId="0" applyNumberFormat="1"/>
    <xf numFmtId="3" fontId="3" fillId="0" borderId="0" xfId="0" applyNumberFormat="1" applyFont="1"/>
    <xf numFmtId="3" fontId="0" fillId="0" borderId="2" xfId="0" applyNumberFormat="1" applyBorder="1"/>
    <xf numFmtId="3" fontId="2" fillId="0" borderId="0" xfId="0" applyNumberFormat="1" applyFont="1"/>
    <xf numFmtId="4" fontId="3" fillId="0" borderId="0" xfId="0" applyNumberFormat="1" applyFont="1"/>
    <xf numFmtId="17" fontId="0" fillId="0" borderId="0" xfId="0" applyNumberFormat="1"/>
    <xf numFmtId="0" fontId="0" fillId="0" borderId="10" xfId="0" applyBorder="1"/>
    <xf numFmtId="0" fontId="0" fillId="0" borderId="3" xfId="0" applyBorder="1"/>
    <xf numFmtId="0" fontId="0" fillId="0" borderId="9" xfId="0" applyBorder="1"/>
    <xf numFmtId="10" fontId="7" fillId="0" borderId="0" xfId="0" applyNumberFormat="1" applyFont="1"/>
    <xf numFmtId="9" fontId="18" fillId="0" borderId="0" xfId="0" applyNumberFormat="1" applyFont="1"/>
    <xf numFmtId="171" fontId="3" fillId="0" borderId="0" xfId="0" applyNumberFormat="1" applyFont="1"/>
    <xf numFmtId="3" fontId="2" fillId="0" borderId="2" xfId="0" applyNumberFormat="1" applyFont="1" applyBorder="1"/>
    <xf numFmtId="3" fontId="9" fillId="0" borderId="2" xfId="0" applyNumberFormat="1" applyFont="1" applyBorder="1" applyAlignment="1">
      <alignment horizontal="right"/>
    </xf>
    <xf numFmtId="3" fontId="9" fillId="0" borderId="8" xfId="0" applyNumberFormat="1" applyFont="1" applyBorder="1" applyAlignment="1">
      <alignment horizontal="right"/>
    </xf>
    <xf numFmtId="0" fontId="20" fillId="0" borderId="0" xfId="0" applyFont="1"/>
    <xf numFmtId="9" fontId="15" fillId="0" borderId="0" xfId="0" applyNumberFormat="1" applyFont="1"/>
    <xf numFmtId="0" fontId="15" fillId="0" borderId="0" xfId="0" applyFont="1"/>
    <xf numFmtId="9" fontId="16" fillId="0" borderId="0" xfId="0" applyNumberFormat="1" applyFont="1"/>
    <xf numFmtId="9" fontId="2" fillId="0" borderId="0" xfId="0" applyNumberFormat="1" applyFont="1"/>
    <xf numFmtId="165" fontId="18" fillId="0" borderId="0" xfId="3" applyFont="1"/>
    <xf numFmtId="0" fontId="8" fillId="0" borderId="0" xfId="0" applyFont="1"/>
    <xf numFmtId="9" fontId="3" fillId="0" borderId="0" xfId="0" applyNumberFormat="1" applyFont="1" applyAlignment="1">
      <alignment horizontal="center"/>
    </xf>
    <xf numFmtId="3" fontId="3" fillId="0" borderId="0" xfId="0" applyNumberFormat="1" applyFont="1" applyAlignment="1">
      <alignment horizontal="center"/>
    </xf>
    <xf numFmtId="0" fontId="3" fillId="0" borderId="0" xfId="0" applyFont="1" applyAlignment="1">
      <alignment horizontal="center"/>
    </xf>
    <xf numFmtId="0" fontId="9" fillId="0" borderId="13" xfId="0" applyFont="1" applyBorder="1"/>
    <xf numFmtId="0" fontId="2" fillId="2" borderId="14" xfId="0" applyFont="1" applyFill="1" applyBorder="1"/>
    <xf numFmtId="3" fontId="15" fillId="0" borderId="0" xfId="0" applyNumberFormat="1" applyFont="1"/>
    <xf numFmtId="3" fontId="22" fillId="0" borderId="0" xfId="0" applyNumberFormat="1" applyFont="1" applyAlignment="1">
      <alignment horizontal="centerContinuous"/>
    </xf>
    <xf numFmtId="3" fontId="22" fillId="0" borderId="0" xfId="0" applyNumberFormat="1" applyFont="1"/>
    <xf numFmtId="0" fontId="23" fillId="0" borderId="0" xfId="0" applyFont="1"/>
    <xf numFmtId="0" fontId="19" fillId="0" borderId="0" xfId="0" applyFont="1"/>
    <xf numFmtId="3" fontId="22" fillId="0" borderId="0" xfId="0" applyNumberFormat="1" applyFont="1" applyAlignment="1">
      <alignment horizontal="left"/>
    </xf>
    <xf numFmtId="0" fontId="24" fillId="0" borderId="0" xfId="0" applyFont="1"/>
    <xf numFmtId="3" fontId="19" fillId="0" borderId="0" xfId="0" applyNumberFormat="1" applyFont="1" applyAlignment="1">
      <alignment horizontal="centerContinuous"/>
    </xf>
    <xf numFmtId="3" fontId="19" fillId="0" borderId="0" xfId="0" applyNumberFormat="1" applyFont="1" applyAlignment="1">
      <alignment horizontal="left"/>
    </xf>
    <xf numFmtId="167" fontId="23" fillId="0" borderId="0" xfId="0" applyNumberFormat="1" applyFont="1"/>
    <xf numFmtId="3" fontId="19" fillId="0" borderId="0" xfId="0" applyNumberFormat="1" applyFont="1"/>
    <xf numFmtId="4" fontId="9" fillId="0" borderId="0" xfId="0" applyNumberFormat="1" applyFont="1" applyAlignment="1">
      <alignment horizontal="center"/>
    </xf>
    <xf numFmtId="3" fontId="10" fillId="0" borderId="0" xfId="0" applyNumberFormat="1" applyFont="1"/>
    <xf numFmtId="0" fontId="10" fillId="0" borderId="0" xfId="0" applyFont="1" applyAlignment="1">
      <alignment horizontal="center"/>
    </xf>
    <xf numFmtId="0" fontId="25" fillId="0" borderId="0" xfId="0" applyFont="1"/>
    <xf numFmtId="0" fontId="2" fillId="0" borderId="15" xfId="0" applyFont="1" applyBorder="1"/>
    <xf numFmtId="3" fontId="23" fillId="0" borderId="0" xfId="0" applyNumberFormat="1" applyFont="1"/>
    <xf numFmtId="3" fontId="24" fillId="0" borderId="0" xfId="0" applyNumberFormat="1" applyFont="1"/>
    <xf numFmtId="3" fontId="20" fillId="0" borderId="0" xfId="0" applyNumberFormat="1" applyFont="1"/>
    <xf numFmtId="16" fontId="18" fillId="0" borderId="0" xfId="0" applyNumberFormat="1" applyFont="1"/>
    <xf numFmtId="0" fontId="10" fillId="2" borderId="2" xfId="0" applyFont="1" applyFill="1" applyBorder="1" applyAlignment="1">
      <alignment horizontal="center"/>
    </xf>
    <xf numFmtId="0" fontId="2" fillId="2" borderId="16" xfId="0" applyFont="1" applyFill="1" applyBorder="1"/>
    <xf numFmtId="0" fontId="13" fillId="0" borderId="0" xfId="0" applyFont="1"/>
    <xf numFmtId="4" fontId="10" fillId="0" borderId="0" xfId="0" applyNumberFormat="1" applyFont="1"/>
    <xf numFmtId="0" fontId="0" fillId="0" borderId="2" xfId="0" applyBorder="1"/>
    <xf numFmtId="1" fontId="0" fillId="0" borderId="0" xfId="0" applyNumberFormat="1"/>
    <xf numFmtId="3" fontId="18" fillId="0" borderId="17" xfId="0" applyNumberFormat="1" applyFont="1" applyBorder="1"/>
    <xf numFmtId="1" fontId="18" fillId="0" borderId="17" xfId="0" applyNumberFormat="1" applyFont="1" applyBorder="1"/>
    <xf numFmtId="3" fontId="18" fillId="0" borderId="18" xfId="0" applyNumberFormat="1" applyFont="1" applyBorder="1"/>
    <xf numFmtId="0" fontId="31" fillId="0" borderId="0" xfId="0" applyFont="1"/>
    <xf numFmtId="0" fontId="32" fillId="0" borderId="0" xfId="0" applyFont="1"/>
    <xf numFmtId="4" fontId="34" fillId="4" borderId="0" xfId="0" applyNumberFormat="1" applyFont="1" applyFill="1"/>
    <xf numFmtId="0" fontId="10" fillId="5" borderId="2" xfId="0" applyFont="1" applyFill="1" applyBorder="1"/>
    <xf numFmtId="0" fontId="10" fillId="5" borderId="2" xfId="0" applyFont="1" applyFill="1" applyBorder="1" applyAlignment="1">
      <alignment horizontal="left"/>
    </xf>
    <xf numFmtId="3" fontId="9" fillId="5" borderId="2" xfId="5" applyNumberFormat="1" applyFont="1" applyFill="1" applyBorder="1" applyAlignment="1" applyProtection="1">
      <alignment horizontal="right"/>
    </xf>
    <xf numFmtId="0" fontId="2" fillId="5" borderId="2" xfId="0" applyFont="1" applyFill="1" applyBorder="1" applyAlignment="1">
      <alignment horizontal="left"/>
    </xf>
    <xf numFmtId="0" fontId="40" fillId="3" borderId="2" xfId="0" applyFont="1" applyFill="1" applyBorder="1"/>
    <xf numFmtId="0" fontId="40" fillId="5" borderId="2" xfId="0" applyFont="1" applyFill="1" applyBorder="1"/>
    <xf numFmtId="3" fontId="34" fillId="4" borderId="0" xfId="0" applyNumberFormat="1" applyFont="1" applyFill="1"/>
    <xf numFmtId="3" fontId="10" fillId="0" borderId="0" xfId="0" applyNumberFormat="1" applyFont="1" applyAlignment="1">
      <alignment horizontal="left"/>
    </xf>
    <xf numFmtId="3" fontId="10" fillId="5" borderId="19" xfId="0" applyNumberFormat="1" applyFont="1" applyFill="1" applyBorder="1" applyAlignment="1">
      <alignment horizontal="right"/>
    </xf>
    <xf numFmtId="3" fontId="10" fillId="0" borderId="0" xfId="0" applyNumberFormat="1" applyFont="1" applyAlignment="1">
      <alignment horizontal="right"/>
    </xf>
    <xf numFmtId="3" fontId="10" fillId="5" borderId="19" xfId="0" applyNumberFormat="1" applyFont="1" applyFill="1" applyBorder="1"/>
    <xf numFmtId="3" fontId="2" fillId="5" borderId="19" xfId="0" applyNumberFormat="1" applyFont="1" applyFill="1" applyBorder="1" applyAlignment="1">
      <alignment horizontal="right"/>
    </xf>
    <xf numFmtId="3" fontId="10" fillId="5" borderId="2" xfId="0" applyNumberFormat="1" applyFont="1" applyFill="1" applyBorder="1"/>
    <xf numFmtId="3" fontId="10" fillId="5" borderId="2" xfId="0" applyNumberFormat="1" applyFont="1" applyFill="1" applyBorder="1" applyAlignment="1">
      <alignment horizontal="right"/>
    </xf>
    <xf numFmtId="3" fontId="40" fillId="5" borderId="2" xfId="0" applyNumberFormat="1" applyFont="1" applyFill="1" applyBorder="1"/>
    <xf numFmtId="0" fontId="3" fillId="5" borderId="20" xfId="0" applyFont="1" applyFill="1" applyBorder="1" applyAlignment="1">
      <alignment horizontal="left"/>
    </xf>
    <xf numFmtId="3" fontId="3" fillId="5" borderId="21" xfId="0" applyNumberFormat="1" applyFont="1" applyFill="1" applyBorder="1" applyAlignment="1">
      <alignment horizontal="right"/>
    </xf>
    <xf numFmtId="0" fontId="12" fillId="5" borderId="20" xfId="0" applyFont="1" applyFill="1" applyBorder="1"/>
    <xf numFmtId="3" fontId="12" fillId="5" borderId="21" xfId="0" applyNumberFormat="1" applyFont="1" applyFill="1" applyBorder="1"/>
    <xf numFmtId="0" fontId="3" fillId="3" borderId="2" xfId="0" applyFont="1" applyFill="1" applyBorder="1"/>
    <xf numFmtId="3" fontId="21" fillId="3" borderId="2" xfId="0" applyNumberFormat="1" applyFont="1" applyFill="1" applyBorder="1"/>
    <xf numFmtId="0" fontId="41" fillId="0" borderId="0" xfId="0" applyFont="1"/>
    <xf numFmtId="0" fontId="42" fillId="0" borderId="0" xfId="0" applyFont="1"/>
    <xf numFmtId="0" fontId="10" fillId="0" borderId="0" xfId="0" applyFont="1" applyAlignment="1">
      <alignment horizontal="center" wrapText="1"/>
    </xf>
    <xf numFmtId="3" fontId="11" fillId="0" borderId="0" xfId="0" applyNumberFormat="1" applyFont="1"/>
    <xf numFmtId="0" fontId="11" fillId="0" borderId="0" xfId="0" applyFont="1"/>
    <xf numFmtId="10" fontId="10" fillId="0" borderId="0" xfId="5" applyNumberFormat="1" applyFont="1" applyFill="1" applyBorder="1" applyAlignment="1" applyProtection="1">
      <alignment horizontal="right"/>
    </xf>
    <xf numFmtId="3" fontId="9" fillId="0" borderId="22" xfId="0" applyNumberFormat="1" applyFont="1" applyBorder="1"/>
    <xf numFmtId="0" fontId="9" fillId="0" borderId="22" xfId="0" applyFont="1" applyBorder="1"/>
    <xf numFmtId="3" fontId="40" fillId="0" borderId="23" xfId="0" applyNumberFormat="1" applyFont="1" applyBorder="1"/>
    <xf numFmtId="0" fontId="0" fillId="0" borderId="23" xfId="0" applyBorder="1"/>
    <xf numFmtId="0" fontId="0" fillId="0" borderId="24" xfId="0" applyBorder="1"/>
    <xf numFmtId="0" fontId="10" fillId="0" borderId="25" xfId="0" applyFont="1" applyBorder="1" applyProtection="1">
      <protection locked="0"/>
    </xf>
    <xf numFmtId="0" fontId="0" fillId="0" borderId="25" xfId="0" applyBorder="1"/>
    <xf numFmtId="3" fontId="9" fillId="0" borderId="25" xfId="0" applyNumberFormat="1" applyFont="1" applyBorder="1" applyProtection="1">
      <protection locked="0"/>
    </xf>
    <xf numFmtId="0" fontId="10" fillId="0" borderId="0" xfId="0" applyFont="1" applyAlignment="1">
      <alignment horizontal="center" vertical="center"/>
    </xf>
    <xf numFmtId="3" fontId="10" fillId="0" borderId="0" xfId="0" applyNumberFormat="1" applyFont="1" applyAlignment="1">
      <alignment horizontal="center"/>
    </xf>
    <xf numFmtId="9" fontId="10" fillId="0" borderId="0" xfId="5" applyFont="1" applyFill="1" applyBorder="1" applyAlignment="1" applyProtection="1">
      <alignment horizontal="center" wrapText="1"/>
    </xf>
    <xf numFmtId="0" fontId="9" fillId="0" borderId="22" xfId="0" applyFont="1" applyBorder="1" applyAlignment="1">
      <alignment horizontal="left"/>
    </xf>
    <xf numFmtId="0" fontId="0" fillId="0" borderId="22" xfId="0" applyBorder="1"/>
    <xf numFmtId="3" fontId="40" fillId="0" borderId="0" xfId="0" applyNumberFormat="1" applyFont="1"/>
    <xf numFmtId="10" fontId="10" fillId="0" borderId="0" xfId="0" applyNumberFormat="1" applyFont="1" applyAlignment="1">
      <alignment horizontal="right"/>
    </xf>
    <xf numFmtId="0" fontId="45" fillId="0" borderId="0" xfId="0" applyFont="1"/>
    <xf numFmtId="0" fontId="0" fillId="0" borderId="26" xfId="0" applyBorder="1"/>
    <xf numFmtId="0" fontId="0" fillId="0" borderId="16" xfId="0" applyBorder="1"/>
    <xf numFmtId="10" fontId="43" fillId="0" borderId="27" xfId="5" applyNumberFormat="1" applyFont="1" applyFill="1" applyBorder="1" applyAlignment="1" applyProtection="1">
      <alignment horizontal="right"/>
    </xf>
    <xf numFmtId="10" fontId="10" fillId="0" borderId="0" xfId="0" applyNumberFormat="1" applyFont="1" applyAlignment="1">
      <alignment horizontal="center"/>
    </xf>
    <xf numFmtId="3" fontId="40" fillId="0" borderId="28" xfId="0" applyNumberFormat="1" applyFont="1" applyBorder="1"/>
    <xf numFmtId="3" fontId="0" fillId="0" borderId="26" xfId="0" applyNumberFormat="1" applyBorder="1"/>
    <xf numFmtId="0" fontId="0" fillId="0" borderId="13" xfId="0" applyBorder="1"/>
    <xf numFmtId="10" fontId="43" fillId="0" borderId="16" xfId="5" applyNumberFormat="1" applyFont="1" applyFill="1" applyBorder="1" applyAlignment="1" applyProtection="1">
      <alignment horizontal="right"/>
    </xf>
    <xf numFmtId="10" fontId="43" fillId="0" borderId="19" xfId="5" applyNumberFormat="1" applyFont="1" applyFill="1" applyBorder="1" applyAlignment="1" applyProtection="1">
      <alignment horizontal="right"/>
    </xf>
    <xf numFmtId="3" fontId="10" fillId="0" borderId="25" xfId="0" applyNumberFormat="1" applyFont="1" applyBorder="1" applyProtection="1">
      <protection locked="0"/>
    </xf>
    <xf numFmtId="3" fontId="10" fillId="0" borderId="22" xfId="0" applyNumberFormat="1" applyFont="1" applyBorder="1" applyProtection="1">
      <protection locked="0"/>
    </xf>
    <xf numFmtId="0" fontId="10" fillId="0" borderId="26" xfId="0" applyFont="1" applyBorder="1" applyProtection="1">
      <protection locked="0"/>
    </xf>
    <xf numFmtId="3" fontId="10" fillId="0" borderId="26" xfId="0" applyNumberFormat="1" applyFont="1" applyBorder="1" applyProtection="1">
      <protection locked="0"/>
    </xf>
    <xf numFmtId="10" fontId="43" fillId="0" borderId="13" xfId="5" applyNumberFormat="1" applyFont="1" applyFill="1" applyBorder="1" applyAlignment="1" applyProtection="1">
      <alignment horizontal="right"/>
    </xf>
    <xf numFmtId="0" fontId="10" fillId="5" borderId="14" xfId="0" applyFont="1" applyFill="1" applyBorder="1" applyProtection="1">
      <protection locked="0"/>
    </xf>
    <xf numFmtId="0" fontId="0" fillId="5" borderId="22" xfId="0" applyFill="1" applyBorder="1"/>
    <xf numFmtId="3" fontId="10" fillId="5" borderId="22" xfId="0" applyNumberFormat="1" applyFont="1" applyFill="1" applyBorder="1" applyProtection="1">
      <protection locked="0"/>
    </xf>
    <xf numFmtId="10" fontId="43" fillId="5" borderId="19" xfId="5" applyNumberFormat="1" applyFont="1" applyFill="1" applyBorder="1" applyAlignment="1" applyProtection="1">
      <alignment horizontal="right"/>
    </xf>
    <xf numFmtId="10" fontId="10" fillId="5" borderId="19" xfId="5" applyNumberFormat="1" applyFont="1" applyFill="1" applyBorder="1" applyAlignment="1" applyProtection="1">
      <alignment horizontal="right"/>
    </xf>
    <xf numFmtId="3" fontId="40" fillId="5" borderId="14" xfId="0" applyNumberFormat="1" applyFont="1" applyFill="1" applyBorder="1"/>
    <xf numFmtId="3" fontId="10" fillId="5" borderId="22" xfId="0" applyNumberFormat="1" applyFont="1" applyFill="1" applyBorder="1"/>
    <xf numFmtId="10" fontId="43" fillId="0" borderId="0" xfId="5" applyNumberFormat="1" applyFont="1" applyFill="1" applyBorder="1" applyAlignment="1" applyProtection="1">
      <alignment horizontal="right"/>
    </xf>
    <xf numFmtId="10" fontId="10" fillId="0" borderId="27" xfId="5" applyNumberFormat="1" applyFont="1" applyFill="1" applyBorder="1" applyAlignment="1" applyProtection="1">
      <alignment horizontal="right"/>
    </xf>
    <xf numFmtId="10" fontId="44" fillId="0" borderId="27" xfId="5" applyNumberFormat="1" applyFont="1" applyFill="1" applyBorder="1" applyAlignment="1" applyProtection="1">
      <alignment horizontal="right"/>
    </xf>
    <xf numFmtId="10" fontId="10" fillId="5" borderId="19" xfId="0" applyNumberFormat="1" applyFont="1" applyFill="1" applyBorder="1" applyAlignment="1">
      <alignment horizontal="right"/>
    </xf>
    <xf numFmtId="0" fontId="9" fillId="0" borderId="0" xfId="0" applyFont="1" applyAlignment="1">
      <alignment horizontal="left"/>
    </xf>
    <xf numFmtId="3" fontId="40" fillId="5" borderId="22" xfId="0" applyNumberFormat="1" applyFont="1" applyFill="1" applyBorder="1"/>
    <xf numFmtId="3" fontId="10" fillId="0" borderId="0" xfId="0" applyNumberFormat="1" applyFont="1" applyAlignment="1">
      <alignment horizontal="center" vertical="center"/>
    </xf>
    <xf numFmtId="9" fontId="10" fillId="0" borderId="0" xfId="0" applyNumberFormat="1" applyFont="1" applyAlignment="1">
      <alignment horizontal="center" vertical="center" wrapText="1"/>
    </xf>
    <xf numFmtId="0" fontId="9" fillId="0" borderId="25" xfId="0" applyFont="1" applyBorder="1" applyAlignment="1">
      <alignment horizontal="left"/>
    </xf>
    <xf numFmtId="3" fontId="9" fillId="0" borderId="25" xfId="0" applyNumberFormat="1" applyFont="1" applyBorder="1"/>
    <xf numFmtId="0" fontId="9" fillId="0" borderId="26" xfId="0" applyFont="1" applyBorder="1" applyAlignment="1">
      <alignment horizontal="left"/>
    </xf>
    <xf numFmtId="0" fontId="9" fillId="0" borderId="25" xfId="0" applyFont="1" applyBorder="1"/>
    <xf numFmtId="0" fontId="9" fillId="0" borderId="26" xfId="0" applyFont="1" applyBorder="1"/>
    <xf numFmtId="0" fontId="10" fillId="5" borderId="14" xfId="0" applyFont="1" applyFill="1" applyBorder="1" applyAlignment="1">
      <alignment horizontal="left"/>
    </xf>
    <xf numFmtId="0" fontId="10" fillId="5" borderId="14" xfId="0" applyFont="1" applyFill="1" applyBorder="1"/>
    <xf numFmtId="0" fontId="10" fillId="0" borderId="26" xfId="0" applyFont="1" applyBorder="1" applyAlignment="1">
      <alignment horizontal="center" vertical="center"/>
    </xf>
    <xf numFmtId="9" fontId="10" fillId="0" borderId="13" xfId="5" applyFont="1" applyFill="1" applyBorder="1" applyAlignment="1" applyProtection="1">
      <alignment horizontal="center" wrapText="1"/>
    </xf>
    <xf numFmtId="0" fontId="46" fillId="5" borderId="22" xfId="0" applyFont="1" applyFill="1" applyBorder="1"/>
    <xf numFmtId="0" fontId="40" fillId="0" borderId="28" xfId="0" applyFont="1" applyBorder="1"/>
    <xf numFmtId="0" fontId="40" fillId="5" borderId="14" xfId="0" applyFont="1" applyFill="1" applyBorder="1"/>
    <xf numFmtId="3" fontId="2" fillId="5" borderId="22" xfId="0" applyNumberFormat="1" applyFont="1" applyFill="1" applyBorder="1"/>
    <xf numFmtId="0" fontId="28" fillId="0" borderId="2" xfId="0" applyFont="1" applyBorder="1"/>
    <xf numFmtId="0" fontId="35" fillId="6" borderId="2" xfId="0" applyFont="1" applyFill="1" applyBorder="1" applyAlignment="1" applyProtection="1">
      <alignment horizontal="left"/>
      <protection locked="0"/>
    </xf>
    <xf numFmtId="3" fontId="35" fillId="6" borderId="2" xfId="5" applyNumberFormat="1" applyFont="1" applyFill="1" applyBorder="1" applyAlignment="1" applyProtection="1">
      <alignment horizontal="right"/>
      <protection locked="0"/>
    </xf>
    <xf numFmtId="0" fontId="35" fillId="6" borderId="2" xfId="0" applyFont="1" applyFill="1" applyBorder="1" applyProtection="1">
      <protection locked="0"/>
    </xf>
    <xf numFmtId="0" fontId="35" fillId="7" borderId="2" xfId="0" applyFont="1" applyFill="1" applyBorder="1" applyProtection="1">
      <protection locked="0"/>
    </xf>
    <xf numFmtId="3" fontId="35" fillId="7" borderId="2" xfId="5" applyNumberFormat="1" applyFont="1" applyFill="1" applyBorder="1" applyAlignment="1" applyProtection="1">
      <alignment horizontal="right"/>
      <protection locked="0"/>
    </xf>
    <xf numFmtId="3" fontId="35" fillId="7" borderId="2" xfId="0" applyNumberFormat="1" applyFont="1" applyFill="1" applyBorder="1" applyProtection="1">
      <protection locked="0"/>
    </xf>
    <xf numFmtId="0" fontId="2" fillId="0" borderId="29" xfId="0" applyFont="1" applyBorder="1"/>
    <xf numFmtId="0" fontId="2" fillId="0" borderId="30" xfId="0" applyFont="1" applyBorder="1"/>
    <xf numFmtId="17" fontId="18" fillId="0" borderId="0" xfId="0" applyNumberFormat="1" applyFont="1"/>
    <xf numFmtId="17" fontId="0" fillId="2" borderId="31" xfId="0" applyNumberFormat="1" applyFill="1" applyBorder="1"/>
    <xf numFmtId="17" fontId="2" fillId="2" borderId="32" xfId="0" applyNumberFormat="1" applyFont="1" applyFill="1" applyBorder="1" applyAlignment="1">
      <alignment horizontal="center"/>
    </xf>
    <xf numFmtId="17" fontId="0" fillId="0" borderId="33" xfId="0" applyNumberFormat="1" applyBorder="1"/>
    <xf numFmtId="3" fontId="0" fillId="0" borderId="34" xfId="0" applyNumberFormat="1" applyBorder="1"/>
    <xf numFmtId="0" fontId="2" fillId="2" borderId="2" xfId="0" applyFont="1" applyFill="1" applyBorder="1" applyAlignment="1">
      <alignment wrapText="1"/>
    </xf>
    <xf numFmtId="14" fontId="0" fillId="0" borderId="2" xfId="0" applyNumberFormat="1" applyBorder="1"/>
    <xf numFmtId="0" fontId="35" fillId="7" borderId="35" xfId="0" applyFont="1" applyFill="1" applyBorder="1" applyProtection="1">
      <protection locked="0"/>
    </xf>
    <xf numFmtId="0" fontId="35" fillId="7" borderId="27" xfId="0" applyFont="1" applyFill="1" applyBorder="1" applyProtection="1">
      <protection locked="0"/>
    </xf>
    <xf numFmtId="4" fontId="35" fillId="7" borderId="35" xfId="0" applyNumberFormat="1" applyFont="1" applyFill="1" applyBorder="1" applyAlignment="1" applyProtection="1">
      <alignment horizontal="right"/>
      <protection locked="0"/>
    </xf>
    <xf numFmtId="3" fontId="10" fillId="2" borderId="23" xfId="0" applyNumberFormat="1" applyFont="1" applyFill="1" applyBorder="1" applyAlignment="1">
      <alignment horizontal="center" wrapText="1"/>
    </xf>
    <xf numFmtId="0" fontId="2" fillId="2" borderId="36" xfId="0" applyFont="1" applyFill="1" applyBorder="1"/>
    <xf numFmtId="0" fontId="2" fillId="2" borderId="37" xfId="0" applyFont="1" applyFill="1" applyBorder="1"/>
    <xf numFmtId="0" fontId="0" fillId="0" borderId="38" xfId="0" applyBorder="1"/>
    <xf numFmtId="0" fontId="35" fillId="7" borderId="19" xfId="0" applyFont="1" applyFill="1" applyBorder="1" applyAlignment="1" applyProtection="1">
      <alignment horizontal="right"/>
      <protection locked="0"/>
    </xf>
    <xf numFmtId="0" fontId="14" fillId="0" borderId="0" xfId="0" applyFont="1"/>
    <xf numFmtId="0" fontId="10" fillId="5" borderId="39" xfId="0" applyFont="1" applyFill="1" applyBorder="1" applyAlignment="1">
      <alignment horizontal="left"/>
    </xf>
    <xf numFmtId="3" fontId="10" fillId="5" borderId="35" xfId="0" applyNumberFormat="1" applyFont="1" applyFill="1" applyBorder="1" applyAlignment="1">
      <alignment horizontal="right"/>
    </xf>
    <xf numFmtId="3" fontId="9" fillId="5" borderId="35" xfId="5" applyNumberFormat="1" applyFont="1" applyFill="1" applyBorder="1" applyAlignment="1" applyProtection="1">
      <alignment horizontal="right"/>
    </xf>
    <xf numFmtId="0" fontId="9" fillId="5" borderId="35" xfId="0" applyFont="1" applyFill="1" applyBorder="1"/>
    <xf numFmtId="3" fontId="10" fillId="5" borderId="35" xfId="0" applyNumberFormat="1" applyFont="1" applyFill="1" applyBorder="1"/>
    <xf numFmtId="3" fontId="10" fillId="5" borderId="40" xfId="0" applyNumberFormat="1" applyFont="1" applyFill="1" applyBorder="1"/>
    <xf numFmtId="0" fontId="10" fillId="0" borderId="39" xfId="0" applyFont="1" applyBorder="1" applyAlignment="1">
      <alignment horizontal="left"/>
    </xf>
    <xf numFmtId="0" fontId="10" fillId="0" borderId="3" xfId="0" applyFont="1" applyBorder="1"/>
    <xf numFmtId="0" fontId="10" fillId="5" borderId="3" xfId="0" applyFont="1" applyFill="1" applyBorder="1"/>
    <xf numFmtId="0" fontId="9" fillId="5" borderId="2" xfId="0" applyFont="1" applyFill="1" applyBorder="1"/>
    <xf numFmtId="3" fontId="10" fillId="5" borderId="8" xfId="0" applyNumberFormat="1" applyFont="1" applyFill="1" applyBorder="1"/>
    <xf numFmtId="3" fontId="3" fillId="5" borderId="41" xfId="0" applyNumberFormat="1" applyFont="1" applyFill="1" applyBorder="1" applyAlignment="1">
      <alignment horizontal="right"/>
    </xf>
    <xf numFmtId="0" fontId="15" fillId="5" borderId="42" xfId="0" applyFont="1" applyFill="1" applyBorder="1"/>
    <xf numFmtId="0" fontId="9" fillId="0" borderId="8" xfId="0" applyFont="1" applyBorder="1"/>
    <xf numFmtId="3" fontId="10" fillId="0" borderId="14" xfId="0" applyNumberFormat="1" applyFont="1" applyBorder="1"/>
    <xf numFmtId="3" fontId="35" fillId="6" borderId="19" xfId="0" applyNumberFormat="1" applyFont="1" applyFill="1" applyBorder="1" applyProtection="1">
      <protection locked="0"/>
    </xf>
    <xf numFmtId="3" fontId="10" fillId="0" borderId="2" xfId="0" applyNumberFormat="1" applyFont="1" applyBorder="1"/>
    <xf numFmtId="0" fontId="48" fillId="0" borderId="0" xfId="0" applyFont="1"/>
    <xf numFmtId="0" fontId="9" fillId="0" borderId="43" xfId="0" applyFont="1" applyBorder="1"/>
    <xf numFmtId="3" fontId="2" fillId="0" borderId="44" xfId="0" applyNumberFormat="1" applyFont="1" applyBorder="1"/>
    <xf numFmtId="0" fontId="10" fillId="2" borderId="4" xfId="0" applyFont="1" applyFill="1" applyBorder="1" applyAlignment="1">
      <alignment horizontal="center"/>
    </xf>
    <xf numFmtId="0" fontId="10" fillId="2" borderId="45" xfId="0" applyFont="1" applyFill="1" applyBorder="1" applyAlignment="1">
      <alignment horizontal="center"/>
    </xf>
    <xf numFmtId="3" fontId="10" fillId="2" borderId="46" xfId="0" applyNumberFormat="1" applyFont="1" applyFill="1" applyBorder="1" applyAlignment="1">
      <alignment horizontal="center"/>
    </xf>
    <xf numFmtId="0" fontId="2" fillId="0" borderId="47" xfId="0" applyFont="1" applyBorder="1"/>
    <xf numFmtId="0" fontId="40" fillId="0" borderId="48" xfId="0" applyFont="1" applyBorder="1"/>
    <xf numFmtId="3" fontId="2" fillId="0" borderId="49" xfId="0" applyNumberFormat="1" applyFont="1" applyBorder="1"/>
    <xf numFmtId="0" fontId="3" fillId="5" borderId="50" xfId="0" applyFont="1" applyFill="1" applyBorder="1"/>
    <xf numFmtId="0" fontId="10" fillId="5" borderId="51" xfId="0" applyFont="1" applyFill="1" applyBorder="1"/>
    <xf numFmtId="3" fontId="40" fillId="5" borderId="52" xfId="0" applyNumberFormat="1" applyFont="1" applyFill="1" applyBorder="1"/>
    <xf numFmtId="3" fontId="40" fillId="5" borderId="53" xfId="0" applyNumberFormat="1" applyFont="1" applyFill="1" applyBorder="1"/>
    <xf numFmtId="0" fontId="2" fillId="0" borderId="54" xfId="0" applyFont="1" applyBorder="1"/>
    <xf numFmtId="3" fontId="10" fillId="0" borderId="55" xfId="0" applyNumberFormat="1" applyFont="1" applyBorder="1"/>
    <xf numFmtId="3" fontId="9" fillId="0" borderId="23" xfId="0" applyNumberFormat="1" applyFont="1" applyBorder="1" applyProtection="1">
      <protection locked="0"/>
    </xf>
    <xf numFmtId="3" fontId="9" fillId="0" borderId="56" xfId="0" applyNumberFormat="1" applyFont="1" applyBorder="1"/>
    <xf numFmtId="0" fontId="9" fillId="0" borderId="57" xfId="0" applyFont="1" applyBorder="1"/>
    <xf numFmtId="3" fontId="10" fillId="0" borderId="58" xfId="0" applyNumberFormat="1" applyFont="1" applyBorder="1"/>
    <xf numFmtId="0" fontId="3" fillId="2" borderId="59" xfId="0" applyFont="1" applyFill="1" applyBorder="1"/>
    <xf numFmtId="0" fontId="3" fillId="2" borderId="60" xfId="0" applyFont="1" applyFill="1" applyBorder="1"/>
    <xf numFmtId="0" fontId="2" fillId="0" borderId="61" xfId="0" applyFont="1" applyBorder="1"/>
    <xf numFmtId="3" fontId="9" fillId="0" borderId="62" xfId="0" applyNumberFormat="1" applyFont="1" applyBorder="1" applyProtection="1">
      <protection locked="0"/>
    </xf>
    <xf numFmtId="0" fontId="9" fillId="0" borderId="38" xfId="0" applyFont="1" applyBorder="1"/>
    <xf numFmtId="3" fontId="10" fillId="0" borderId="63" xfId="0" applyNumberFormat="1" applyFont="1" applyBorder="1"/>
    <xf numFmtId="3" fontId="2" fillId="0" borderId="64" xfId="0" applyNumberFormat="1" applyFont="1" applyBorder="1"/>
    <xf numFmtId="0" fontId="10" fillId="5" borderId="65" xfId="0" applyFont="1" applyFill="1" applyBorder="1"/>
    <xf numFmtId="3" fontId="40" fillId="5" borderId="66" xfId="0" applyNumberFormat="1" applyFont="1" applyFill="1" applyBorder="1"/>
    <xf numFmtId="0" fontId="2" fillId="2" borderId="30" xfId="0" applyFont="1" applyFill="1" applyBorder="1"/>
    <xf numFmtId="10" fontId="35" fillId="7" borderId="2" xfId="0" applyNumberFormat="1" applyFont="1" applyFill="1" applyBorder="1" applyProtection="1">
      <protection locked="0"/>
    </xf>
    <xf numFmtId="10" fontId="10" fillId="0" borderId="0" xfId="5" applyNumberFormat="1" applyFont="1" applyFill="1" applyBorder="1"/>
    <xf numFmtId="3" fontId="2" fillId="0" borderId="0" xfId="0" applyNumberFormat="1" applyFont="1" applyAlignment="1">
      <alignment horizontal="right"/>
    </xf>
    <xf numFmtId="3" fontId="18" fillId="0" borderId="0" xfId="5" applyNumberFormat="1" applyFont="1" applyFill="1" applyBorder="1" applyAlignment="1" applyProtection="1">
      <alignment horizontal="right"/>
    </xf>
    <xf numFmtId="0" fontId="12" fillId="5" borderId="67" xfId="0" applyFont="1" applyFill="1" applyBorder="1"/>
    <xf numFmtId="0" fontId="15" fillId="5" borderId="43" xfId="0" applyFont="1" applyFill="1" applyBorder="1"/>
    <xf numFmtId="3" fontId="3" fillId="5" borderId="43" xfId="0" applyNumberFormat="1" applyFont="1" applyFill="1" applyBorder="1"/>
    <xf numFmtId="10" fontId="10" fillId="5" borderId="68" xfId="5" applyNumberFormat="1" applyFont="1" applyFill="1" applyBorder="1" applyAlignment="1" applyProtection="1">
      <alignment horizontal="right"/>
    </xf>
    <xf numFmtId="0" fontId="12" fillId="5" borderId="69" xfId="0" applyFont="1" applyFill="1" applyBorder="1"/>
    <xf numFmtId="10" fontId="10" fillId="5" borderId="68" xfId="0" applyNumberFormat="1" applyFont="1" applyFill="1" applyBorder="1" applyAlignment="1">
      <alignment horizontal="right"/>
    </xf>
    <xf numFmtId="0" fontId="49" fillId="0" borderId="0" xfId="0" applyFont="1"/>
    <xf numFmtId="0" fontId="10" fillId="3" borderId="2" xfId="0" applyFont="1" applyFill="1" applyBorder="1" applyAlignment="1">
      <alignment horizontal="center"/>
    </xf>
    <xf numFmtId="3" fontId="10" fillId="2" borderId="70" xfId="0" applyNumberFormat="1" applyFont="1" applyFill="1" applyBorder="1" applyAlignment="1">
      <alignment horizontal="center" vertical="center"/>
    </xf>
    <xf numFmtId="9" fontId="10" fillId="2" borderId="27" xfId="0" applyNumberFormat="1" applyFont="1" applyFill="1" applyBorder="1" applyAlignment="1">
      <alignment horizontal="center" vertical="center" wrapText="1"/>
    </xf>
    <xf numFmtId="3" fontId="10" fillId="2" borderId="70" xfId="0" applyNumberFormat="1" applyFont="1" applyFill="1" applyBorder="1" applyAlignment="1">
      <alignment horizontal="center"/>
    </xf>
    <xf numFmtId="9" fontId="10" fillId="2" borderId="27" xfId="5" applyFont="1" applyFill="1" applyBorder="1" applyAlignment="1" applyProtection="1">
      <alignment horizontal="center" wrapText="1"/>
    </xf>
    <xf numFmtId="3" fontId="18" fillId="0" borderId="22" xfId="0" applyNumberFormat="1" applyFont="1" applyBorder="1"/>
    <xf numFmtId="3" fontId="2" fillId="0" borderId="25" xfId="0" applyNumberFormat="1" applyFont="1" applyBorder="1"/>
    <xf numFmtId="3" fontId="9" fillId="2" borderId="0" xfId="0" applyNumberFormat="1" applyFont="1" applyFill="1"/>
    <xf numFmtId="3" fontId="3" fillId="8" borderId="43" xfId="0" applyNumberFormat="1" applyFont="1" applyFill="1" applyBorder="1"/>
    <xf numFmtId="0" fontId="2" fillId="0" borderId="10" xfId="0" applyFont="1" applyBorder="1"/>
    <xf numFmtId="0" fontId="2" fillId="0" borderId="9" xfId="0" applyFont="1" applyBorder="1"/>
    <xf numFmtId="3" fontId="2" fillId="0" borderId="22" xfId="0" applyNumberFormat="1" applyFont="1" applyBorder="1"/>
    <xf numFmtId="0" fontId="0" fillId="0" borderId="30" xfId="0" applyBorder="1"/>
    <xf numFmtId="0" fontId="0" fillId="5" borderId="0" xfId="0" applyFill="1"/>
    <xf numFmtId="0" fontId="46" fillId="0" borderId="0" xfId="0" applyFont="1"/>
    <xf numFmtId="3" fontId="18" fillId="0" borderId="25" xfId="0" applyNumberFormat="1" applyFont="1" applyBorder="1"/>
    <xf numFmtId="0" fontId="2" fillId="0" borderId="22" xfId="0" applyFont="1" applyBorder="1"/>
    <xf numFmtId="3" fontId="10" fillId="2" borderId="71" xfId="0" applyNumberFormat="1" applyFont="1" applyFill="1" applyBorder="1" applyAlignment="1">
      <alignment horizontal="center"/>
    </xf>
    <xf numFmtId="3" fontId="0" fillId="0" borderId="22" xfId="0" applyNumberFormat="1" applyBorder="1"/>
    <xf numFmtId="3" fontId="40" fillId="5" borderId="0" xfId="0" applyNumberFormat="1" applyFont="1" applyFill="1"/>
    <xf numFmtId="3" fontId="3" fillId="5" borderId="30" xfId="0" applyNumberFormat="1" applyFont="1" applyFill="1" applyBorder="1"/>
    <xf numFmtId="3" fontId="2" fillId="0" borderId="26" xfId="0" applyNumberFormat="1" applyFont="1" applyBorder="1"/>
    <xf numFmtId="10" fontId="9" fillId="0" borderId="0" xfId="5" applyNumberFormat="1" applyFont="1" applyFill="1" applyBorder="1"/>
    <xf numFmtId="0" fontId="30" fillId="0" borderId="0" xfId="0" applyFont="1"/>
    <xf numFmtId="0" fontId="2" fillId="0" borderId="14" xfId="0" applyFont="1" applyBorder="1"/>
    <xf numFmtId="10" fontId="25" fillId="0" borderId="0" xfId="0" applyNumberFormat="1" applyFont="1"/>
    <xf numFmtId="172" fontId="19" fillId="5" borderId="0" xfId="0" applyNumberFormat="1" applyFont="1" applyFill="1"/>
    <xf numFmtId="3" fontId="19" fillId="5" borderId="0" xfId="0" applyNumberFormat="1" applyFont="1" applyFill="1"/>
    <xf numFmtId="172" fontId="19" fillId="0" borderId="0" xfId="0" applyNumberFormat="1" applyFont="1"/>
    <xf numFmtId="3" fontId="54" fillId="0" borderId="0" xfId="0" applyNumberFormat="1" applyFont="1"/>
    <xf numFmtId="172" fontId="23" fillId="0" borderId="25" xfId="0" applyNumberFormat="1" applyFont="1" applyBorder="1" applyAlignment="1">
      <alignment horizontal="right"/>
    </xf>
    <xf numFmtId="172" fontId="23" fillId="0" borderId="0" xfId="0" applyNumberFormat="1" applyFont="1" applyAlignment="1">
      <alignment horizontal="right"/>
    </xf>
    <xf numFmtId="172" fontId="23" fillId="0" borderId="25" xfId="0" applyNumberFormat="1" applyFont="1" applyBorder="1"/>
    <xf numFmtId="3" fontId="23" fillId="0" borderId="25" xfId="0" applyNumberFormat="1" applyFont="1" applyBorder="1"/>
    <xf numFmtId="172" fontId="23" fillId="0" borderId="0" xfId="0" applyNumberFormat="1" applyFont="1"/>
    <xf numFmtId="172" fontId="19" fillId="0" borderId="25" xfId="0" applyNumberFormat="1" applyFont="1" applyBorder="1"/>
    <xf numFmtId="3" fontId="19" fillId="0" borderId="25" xfId="0" applyNumberFormat="1" applyFont="1" applyBorder="1"/>
    <xf numFmtId="0" fontId="23" fillId="0" borderId="72" xfId="0" applyFont="1" applyBorder="1"/>
    <xf numFmtId="3" fontId="23" fillId="0" borderId="72" xfId="0" applyNumberFormat="1" applyFont="1" applyBorder="1"/>
    <xf numFmtId="0" fontId="23" fillId="0" borderId="73" xfId="0" applyFont="1" applyBorder="1"/>
    <xf numFmtId="172" fontId="27" fillId="5" borderId="38" xfId="0" applyNumberFormat="1" applyFont="1" applyFill="1" applyBorder="1"/>
    <xf numFmtId="3" fontId="27" fillId="5" borderId="38" xfId="0" applyNumberFormat="1" applyFont="1" applyFill="1" applyBorder="1"/>
    <xf numFmtId="0" fontId="23" fillId="0" borderId="74" xfId="0" applyFont="1" applyBorder="1"/>
    <xf numFmtId="10" fontId="25" fillId="0" borderId="27" xfId="0" applyNumberFormat="1" applyFont="1" applyBorder="1"/>
    <xf numFmtId="10" fontId="28" fillId="5" borderId="16" xfId="0" applyNumberFormat="1" applyFont="1" applyFill="1" applyBorder="1"/>
    <xf numFmtId="0" fontId="25" fillId="0" borderId="16" xfId="0" applyFont="1" applyBorder="1"/>
    <xf numFmtId="10" fontId="28" fillId="0" borderId="16" xfId="0" applyNumberFormat="1" applyFont="1" applyBorder="1"/>
    <xf numFmtId="10" fontId="28" fillId="5" borderId="57" xfId="0" applyNumberFormat="1" applyFont="1" applyFill="1" applyBorder="1"/>
    <xf numFmtId="10" fontId="25" fillId="0" borderId="16" xfId="0" applyNumberFormat="1" applyFont="1" applyBorder="1"/>
    <xf numFmtId="172" fontId="23" fillId="0" borderId="22" xfId="0" applyNumberFormat="1" applyFont="1" applyBorder="1"/>
    <xf numFmtId="0" fontId="23" fillId="0" borderId="16" xfId="0" applyFont="1" applyBorder="1"/>
    <xf numFmtId="10" fontId="25" fillId="0" borderId="19" xfId="0" applyNumberFormat="1" applyFont="1" applyBorder="1"/>
    <xf numFmtId="3" fontId="22" fillId="0" borderId="43" xfId="0" applyNumberFormat="1" applyFont="1" applyBorder="1" applyAlignment="1">
      <alignment horizontal="center"/>
    </xf>
    <xf numFmtId="3" fontId="22" fillId="0" borderId="38" xfId="0" applyNumberFormat="1" applyFont="1" applyBorder="1" applyAlignment="1">
      <alignment horizontal="center"/>
    </xf>
    <xf numFmtId="3" fontId="19" fillId="0" borderId="38" xfId="0" applyNumberFormat="1" applyFont="1" applyBorder="1" applyAlignment="1">
      <alignment horizontal="center"/>
    </xf>
    <xf numFmtId="3" fontId="19" fillId="0" borderId="43" xfId="0" applyNumberFormat="1" applyFont="1" applyBorder="1" applyAlignment="1">
      <alignment horizontal="center"/>
    </xf>
    <xf numFmtId="0" fontId="22" fillId="0" borderId="25" xfId="0" applyFont="1" applyBorder="1"/>
    <xf numFmtId="0" fontId="23" fillId="0" borderId="25" xfId="0" applyFont="1" applyBorder="1"/>
    <xf numFmtId="0" fontId="24" fillId="0" borderId="25" xfId="0" applyFont="1" applyBorder="1"/>
    <xf numFmtId="10" fontId="28" fillId="0" borderId="0" xfId="0" applyNumberFormat="1" applyFont="1"/>
    <xf numFmtId="3" fontId="27" fillId="0" borderId="0" xfId="0" applyNumberFormat="1" applyFont="1"/>
    <xf numFmtId="172" fontId="27" fillId="0" borderId="0" xfId="0" applyNumberFormat="1" applyFont="1"/>
    <xf numFmtId="0" fontId="18" fillId="0" borderId="14" xfId="0" applyFont="1" applyBorder="1"/>
    <xf numFmtId="0" fontId="2" fillId="5" borderId="14" xfId="0" applyFont="1" applyFill="1" applyBorder="1"/>
    <xf numFmtId="3" fontId="2" fillId="5" borderId="19" xfId="0" applyNumberFormat="1" applyFont="1" applyFill="1" applyBorder="1"/>
    <xf numFmtId="2" fontId="55" fillId="0" borderId="0" xfId="0" applyNumberFormat="1" applyFont="1" applyAlignment="1">
      <alignment horizontal="center" wrapText="1"/>
    </xf>
    <xf numFmtId="0" fontId="19" fillId="0" borderId="67" xfId="0" applyFont="1" applyBorder="1"/>
    <xf numFmtId="3" fontId="19" fillId="0" borderId="43" xfId="0" applyNumberFormat="1" applyFont="1" applyBorder="1"/>
    <xf numFmtId="3" fontId="2" fillId="5" borderId="2" xfId="0" applyNumberFormat="1" applyFont="1" applyFill="1" applyBorder="1"/>
    <xf numFmtId="3" fontId="3" fillId="5" borderId="19" xfId="0" applyNumberFormat="1" applyFont="1" applyFill="1" applyBorder="1"/>
    <xf numFmtId="0" fontId="18" fillId="0" borderId="70" xfId="0" applyFont="1" applyBorder="1"/>
    <xf numFmtId="0" fontId="18" fillId="0" borderId="28" xfId="0" applyFont="1" applyBorder="1"/>
    <xf numFmtId="3" fontId="18" fillId="0" borderId="35" xfId="0" applyNumberFormat="1" applyFont="1" applyBorder="1"/>
    <xf numFmtId="3" fontId="19" fillId="0" borderId="68" xfId="0" applyNumberFormat="1" applyFont="1" applyBorder="1"/>
    <xf numFmtId="0" fontId="3" fillId="5" borderId="28" xfId="0" applyFont="1" applyFill="1" applyBorder="1"/>
    <xf numFmtId="0" fontId="3" fillId="5" borderId="24" xfId="0" applyFont="1" applyFill="1" applyBorder="1"/>
    <xf numFmtId="0" fontId="2" fillId="0" borderId="28" xfId="0" applyFont="1" applyBorder="1"/>
    <xf numFmtId="0" fontId="2" fillId="0" borderId="24" xfId="0" applyFont="1" applyBorder="1"/>
    <xf numFmtId="0" fontId="3" fillId="5" borderId="70" xfId="0" applyFont="1" applyFill="1" applyBorder="1"/>
    <xf numFmtId="3" fontId="2" fillId="0" borderId="75" xfId="0" applyNumberFormat="1" applyFont="1" applyBorder="1"/>
    <xf numFmtId="3" fontId="2" fillId="0" borderId="76" xfId="0" applyNumberFormat="1" applyFont="1" applyBorder="1"/>
    <xf numFmtId="3" fontId="2" fillId="0" borderId="77" xfId="0" applyNumberFormat="1" applyFont="1" applyBorder="1"/>
    <xf numFmtId="0" fontId="53" fillId="0" borderId="15" xfId="0" applyFont="1" applyBorder="1"/>
    <xf numFmtId="0" fontId="53" fillId="0" borderId="29" xfId="0" applyFont="1" applyBorder="1"/>
    <xf numFmtId="0" fontId="56" fillId="2" borderId="36" xfId="0" applyFont="1" applyFill="1" applyBorder="1"/>
    <xf numFmtId="0" fontId="56" fillId="2" borderId="37" xfId="0" applyFont="1" applyFill="1" applyBorder="1"/>
    <xf numFmtId="17" fontId="2" fillId="5" borderId="33" xfId="0" applyNumberFormat="1" applyFont="1" applyFill="1" applyBorder="1"/>
    <xf numFmtId="3" fontId="2" fillId="5" borderId="34" xfId="0" applyNumberFormat="1" applyFont="1" applyFill="1" applyBorder="1"/>
    <xf numFmtId="17" fontId="2" fillId="5" borderId="78" xfId="0" applyNumberFormat="1" applyFont="1" applyFill="1" applyBorder="1"/>
    <xf numFmtId="3" fontId="2" fillId="5" borderId="79" xfId="0" applyNumberFormat="1" applyFont="1" applyFill="1" applyBorder="1"/>
    <xf numFmtId="3" fontId="2" fillId="5" borderId="80" xfId="0" applyNumberFormat="1" applyFont="1" applyFill="1" applyBorder="1"/>
    <xf numFmtId="0" fontId="2" fillId="2" borderId="13" xfId="0" applyFont="1" applyFill="1" applyBorder="1"/>
    <xf numFmtId="3" fontId="0" fillId="0" borderId="14" xfId="0" applyNumberFormat="1" applyBorder="1"/>
    <xf numFmtId="3" fontId="2" fillId="5" borderId="14" xfId="0" applyNumberFormat="1" applyFont="1" applyFill="1" applyBorder="1"/>
    <xf numFmtId="3" fontId="2" fillId="5" borderId="81" xfId="0" applyNumberFormat="1" applyFont="1" applyFill="1" applyBorder="1"/>
    <xf numFmtId="3" fontId="0" fillId="0" borderId="33" xfId="0" applyNumberFormat="1" applyBorder="1"/>
    <xf numFmtId="3" fontId="2" fillId="5" borderId="33" xfId="0" applyNumberFormat="1" applyFont="1" applyFill="1" applyBorder="1"/>
    <xf numFmtId="0" fontId="53" fillId="0" borderId="82" xfId="0" applyFont="1" applyBorder="1"/>
    <xf numFmtId="0" fontId="53" fillId="0" borderId="83" xfId="0" applyFont="1" applyBorder="1"/>
    <xf numFmtId="0" fontId="0" fillId="0" borderId="71" xfId="0" applyBorder="1"/>
    <xf numFmtId="3" fontId="2" fillId="0" borderId="84" xfId="0" applyNumberFormat="1" applyFont="1" applyBorder="1"/>
    <xf numFmtId="0" fontId="2" fillId="0" borderId="84" xfId="0" applyFont="1" applyBorder="1"/>
    <xf numFmtId="0" fontId="2" fillId="0" borderId="85" xfId="0" applyFont="1" applyBorder="1"/>
    <xf numFmtId="0" fontId="0" fillId="0" borderId="51" xfId="0" applyBorder="1"/>
    <xf numFmtId="0" fontId="2" fillId="2" borderId="86" xfId="0" applyFont="1" applyFill="1" applyBorder="1"/>
    <xf numFmtId="0" fontId="0" fillId="2" borderId="72" xfId="0" applyFill="1" applyBorder="1"/>
    <xf numFmtId="0" fontId="0" fillId="2" borderId="73" xfId="0" applyFill="1" applyBorder="1"/>
    <xf numFmtId="17" fontId="18" fillId="0" borderId="17" xfId="0" applyNumberFormat="1" applyFont="1" applyBorder="1"/>
    <xf numFmtId="4" fontId="53" fillId="0" borderId="0" xfId="0" applyNumberFormat="1" applyFont="1" applyAlignment="1">
      <alignment horizontal="right"/>
    </xf>
    <xf numFmtId="0" fontId="53" fillId="0" borderId="0" xfId="0" applyFont="1" applyAlignment="1">
      <alignment horizontal="right"/>
    </xf>
    <xf numFmtId="17" fontId="0" fillId="0" borderId="22" xfId="0" applyNumberFormat="1" applyBorder="1"/>
    <xf numFmtId="0" fontId="2" fillId="0" borderId="83" xfId="0" applyFont="1" applyBorder="1"/>
    <xf numFmtId="17" fontId="0" fillId="0" borderId="71" xfId="0" applyNumberFormat="1" applyBorder="1"/>
    <xf numFmtId="3" fontId="2" fillId="0" borderId="71" xfId="0" applyNumberFormat="1" applyFont="1" applyBorder="1"/>
    <xf numFmtId="0" fontId="2" fillId="0" borderId="71" xfId="0" applyFont="1" applyBorder="1"/>
    <xf numFmtId="17" fontId="0" fillId="0" borderId="76" xfId="0" applyNumberFormat="1" applyBorder="1"/>
    <xf numFmtId="0" fontId="57" fillId="0" borderId="0" xfId="0" applyFont="1"/>
    <xf numFmtId="0" fontId="0" fillId="0" borderId="87" xfId="0" applyBorder="1"/>
    <xf numFmtId="3" fontId="0" fillId="0" borderId="88" xfId="0" applyNumberFormat="1" applyBorder="1"/>
    <xf numFmtId="3" fontId="0" fillId="0" borderId="89" xfId="0" applyNumberFormat="1" applyBorder="1"/>
    <xf numFmtId="0" fontId="0" fillId="0" borderId="33" xfId="0" applyBorder="1"/>
    <xf numFmtId="0" fontId="2" fillId="5" borderId="33" xfId="0" applyFont="1" applyFill="1" applyBorder="1"/>
    <xf numFmtId="0" fontId="2" fillId="5" borderId="78" xfId="0" applyFont="1" applyFill="1" applyBorder="1"/>
    <xf numFmtId="3" fontId="0" fillId="0" borderId="90" xfId="0" applyNumberFormat="1" applyBorder="1"/>
    <xf numFmtId="3" fontId="0" fillId="0" borderId="23" xfId="0" applyNumberFormat="1" applyBorder="1"/>
    <xf numFmtId="0" fontId="0" fillId="5" borderId="5" xfId="0" applyFill="1" applyBorder="1"/>
    <xf numFmtId="4" fontId="2" fillId="5" borderId="7" xfId="0" applyNumberFormat="1" applyFont="1" applyFill="1" applyBorder="1"/>
    <xf numFmtId="4" fontId="57" fillId="0" borderId="0" xfId="0" applyNumberFormat="1" applyFont="1"/>
    <xf numFmtId="0" fontId="3" fillId="2" borderId="60" xfId="0" applyFont="1" applyFill="1" applyBorder="1" applyAlignment="1">
      <alignment horizontal="center" vertical="center"/>
    </xf>
    <xf numFmtId="0" fontId="18" fillId="0" borderId="15" xfId="0" applyFont="1" applyBorder="1"/>
    <xf numFmtId="0" fontId="3" fillId="0" borderId="15" xfId="0" applyFont="1" applyBorder="1"/>
    <xf numFmtId="0" fontId="3" fillId="2" borderId="84" xfId="0" applyFont="1" applyFill="1" applyBorder="1" applyAlignment="1">
      <alignment horizontal="right" vertical="center" wrapText="1"/>
    </xf>
    <xf numFmtId="3" fontId="3" fillId="2" borderId="84" xfId="0" applyNumberFormat="1" applyFont="1" applyFill="1" applyBorder="1" applyAlignment="1">
      <alignment horizontal="right" vertical="center"/>
    </xf>
    <xf numFmtId="3" fontId="3" fillId="2" borderId="91" xfId="0" applyNumberFormat="1" applyFont="1" applyFill="1" applyBorder="1" applyAlignment="1">
      <alignment horizontal="right" vertical="center"/>
    </xf>
    <xf numFmtId="0" fontId="3" fillId="0" borderId="82" xfId="0" applyFont="1" applyBorder="1" applyAlignment="1">
      <alignment horizontal="left"/>
    </xf>
    <xf numFmtId="0" fontId="18" fillId="0" borderId="92" xfId="0" applyFont="1" applyBorder="1"/>
    <xf numFmtId="0" fontId="12" fillId="0" borderId="30" xfId="0" applyFont="1" applyBorder="1"/>
    <xf numFmtId="0" fontId="12" fillId="0" borderId="0" xfId="0" applyFont="1"/>
    <xf numFmtId="0" fontId="12" fillId="5" borderId="15" xfId="0" applyFont="1" applyFill="1" applyBorder="1"/>
    <xf numFmtId="0" fontId="3" fillId="0" borderId="82" xfId="0" applyFont="1" applyBorder="1"/>
    <xf numFmtId="0" fontId="12" fillId="5" borderId="50" xfId="0" applyFont="1" applyFill="1" applyBorder="1"/>
    <xf numFmtId="49" fontId="2" fillId="0" borderId="0" xfId="0" applyNumberFormat="1" applyFont="1"/>
    <xf numFmtId="0" fontId="2" fillId="0" borderId="0" xfId="0" applyFont="1" applyProtection="1">
      <protection locked="0"/>
    </xf>
    <xf numFmtId="0" fontId="18" fillId="0" borderId="22" xfId="0" applyFont="1" applyBorder="1" applyProtection="1">
      <protection locked="0"/>
    </xf>
    <xf numFmtId="3" fontId="18" fillId="0" borderId="22" xfId="0" applyNumberFormat="1" applyFont="1" applyBorder="1" applyProtection="1">
      <protection locked="0"/>
    </xf>
    <xf numFmtId="3" fontId="2" fillId="0" borderId="22" xfId="0" applyNumberFormat="1" applyFont="1" applyBorder="1" applyProtection="1">
      <protection locked="0"/>
    </xf>
    <xf numFmtId="0" fontId="2" fillId="5" borderId="93" xfId="0" applyFont="1" applyFill="1" applyBorder="1"/>
    <xf numFmtId="3" fontId="2" fillId="5" borderId="22" xfId="0" applyNumberFormat="1" applyFont="1" applyFill="1" applyBorder="1" applyProtection="1">
      <protection locked="0"/>
    </xf>
    <xf numFmtId="0" fontId="18" fillId="0" borderId="22" xfId="0" applyFont="1" applyBorder="1"/>
    <xf numFmtId="10" fontId="18" fillId="0" borderId="22" xfId="0" applyNumberFormat="1" applyFont="1" applyBorder="1" applyProtection="1">
      <protection locked="0"/>
    </xf>
    <xf numFmtId="10" fontId="2" fillId="0" borderId="22" xfId="0" applyNumberFormat="1" applyFont="1" applyBorder="1" applyProtection="1">
      <protection locked="0"/>
    </xf>
    <xf numFmtId="49" fontId="2" fillId="5" borderId="93" xfId="0" applyNumberFormat="1" applyFont="1" applyFill="1" applyBorder="1"/>
    <xf numFmtId="0" fontId="2" fillId="5" borderId="22" xfId="0" applyFont="1" applyFill="1" applyBorder="1" applyProtection="1">
      <protection locked="0"/>
    </xf>
    <xf numFmtId="3" fontId="2" fillId="2" borderId="22" xfId="0" applyNumberFormat="1" applyFont="1" applyFill="1" applyBorder="1" applyAlignment="1">
      <alignment horizontal="right"/>
    </xf>
    <xf numFmtId="3" fontId="2" fillId="2" borderId="19" xfId="0" applyNumberFormat="1" applyFont="1" applyFill="1" applyBorder="1" applyAlignment="1">
      <alignment horizontal="right"/>
    </xf>
    <xf numFmtId="0" fontId="22" fillId="5" borderId="67" xfId="0" applyFont="1" applyFill="1" applyBorder="1"/>
    <xf numFmtId="0" fontId="22" fillId="5" borderId="43" xfId="0" applyFont="1" applyFill="1" applyBorder="1"/>
    <xf numFmtId="3" fontId="3" fillId="5" borderId="43" xfId="0" applyNumberFormat="1" applyFont="1" applyFill="1" applyBorder="1" applyProtection="1">
      <protection locked="0"/>
    </xf>
    <xf numFmtId="3" fontId="3" fillId="5" borderId="68" xfId="0" applyNumberFormat="1" applyFont="1" applyFill="1" applyBorder="1" applyProtection="1">
      <protection locked="0"/>
    </xf>
    <xf numFmtId="0" fontId="2" fillId="2" borderId="60" xfId="0" applyFont="1" applyFill="1" applyBorder="1"/>
    <xf numFmtId="3" fontId="18" fillId="0" borderId="22" xfId="0" quotePrefix="1" applyNumberFormat="1" applyFont="1" applyBorder="1"/>
    <xf numFmtId="10" fontId="2" fillId="0" borderId="22" xfId="0" applyNumberFormat="1" applyFont="1" applyBorder="1"/>
    <xf numFmtId="10" fontId="2" fillId="0" borderId="75" xfId="5" applyNumberFormat="1" applyFont="1" applyFill="1" applyBorder="1"/>
    <xf numFmtId="0" fontId="2" fillId="2" borderId="84" xfId="0" applyFont="1" applyFill="1" applyBorder="1" applyAlignment="1">
      <alignment horizontal="right"/>
    </xf>
    <xf numFmtId="0" fontId="2" fillId="2" borderId="91" xfId="0" applyFont="1" applyFill="1" applyBorder="1" applyAlignment="1">
      <alignment horizontal="right"/>
    </xf>
    <xf numFmtId="0" fontId="2" fillId="2" borderId="0" xfId="0" applyFont="1" applyFill="1" applyAlignment="1">
      <alignment horizontal="right"/>
    </xf>
    <xf numFmtId="0" fontId="2" fillId="2" borderId="92" xfId="0" applyFont="1" applyFill="1" applyBorder="1" applyAlignment="1">
      <alignment horizontal="right"/>
    </xf>
    <xf numFmtId="0" fontId="2" fillId="5" borderId="29" xfId="0" applyFont="1" applyFill="1" applyBorder="1"/>
    <xf numFmtId="3" fontId="18" fillId="5" borderId="76" xfId="0" applyNumberFormat="1" applyFont="1" applyFill="1" applyBorder="1"/>
    <xf numFmtId="10" fontId="2" fillId="5" borderId="76" xfId="0" applyNumberFormat="1" applyFont="1" applyFill="1" applyBorder="1"/>
    <xf numFmtId="10" fontId="2" fillId="5" borderId="77" xfId="0" applyNumberFormat="1" applyFont="1" applyFill="1" applyBorder="1"/>
    <xf numFmtId="3" fontId="22" fillId="5" borderId="43" xfId="0" applyNumberFormat="1" applyFont="1" applyFill="1" applyBorder="1"/>
    <xf numFmtId="3" fontId="3" fillId="5" borderId="68" xfId="0" applyNumberFormat="1" applyFont="1" applyFill="1" applyBorder="1"/>
    <xf numFmtId="3" fontId="2" fillId="0" borderId="34" xfId="0" applyNumberFormat="1" applyFont="1" applyBorder="1"/>
    <xf numFmtId="0" fontId="2" fillId="2" borderId="72" xfId="0" applyFont="1" applyFill="1" applyBorder="1" applyAlignment="1">
      <alignment wrapText="1"/>
    </xf>
    <xf numFmtId="10" fontId="2" fillId="0" borderId="0" xfId="0" applyNumberFormat="1" applyFont="1"/>
    <xf numFmtId="10" fontId="18" fillId="0" borderId="0" xfId="0" applyNumberFormat="1" applyFont="1"/>
    <xf numFmtId="9" fontId="18" fillId="0" borderId="0" xfId="0" applyNumberFormat="1" applyFont="1" applyProtection="1">
      <protection locked="0"/>
    </xf>
    <xf numFmtId="0" fontId="3" fillId="5" borderId="67" xfId="0" applyFont="1" applyFill="1" applyBorder="1"/>
    <xf numFmtId="171" fontId="3" fillId="5" borderId="68" xfId="0" applyNumberFormat="1" applyFont="1" applyFill="1" applyBorder="1"/>
    <xf numFmtId="0" fontId="2" fillId="0" borderId="25" xfId="0" applyFont="1" applyBorder="1"/>
    <xf numFmtId="9" fontId="18" fillId="0" borderId="22" xfId="0" applyNumberFormat="1" applyFont="1" applyBorder="1" applyProtection="1">
      <protection locked="0"/>
    </xf>
    <xf numFmtId="0" fontId="18" fillId="0" borderId="26" xfId="0" applyFont="1" applyBorder="1"/>
    <xf numFmtId="9" fontId="18" fillId="0" borderId="26" xfId="0" applyNumberFormat="1" applyFont="1" applyBorder="1" applyProtection="1">
      <protection locked="0"/>
    </xf>
    <xf numFmtId="0" fontId="3" fillId="0" borderId="67" xfId="0" applyFont="1" applyBorder="1"/>
    <xf numFmtId="0" fontId="3" fillId="0" borderId="43" xfId="0" applyFont="1" applyBorder="1"/>
    <xf numFmtId="3" fontId="3" fillId="0" borderId="43" xfId="0" applyNumberFormat="1" applyFont="1" applyBorder="1"/>
    <xf numFmtId="3" fontId="3" fillId="0" borderId="68" xfId="0" applyNumberFormat="1" applyFont="1" applyBorder="1"/>
    <xf numFmtId="0" fontId="3" fillId="5" borderId="43" xfId="0" applyFont="1" applyFill="1" applyBorder="1"/>
    <xf numFmtId="0" fontId="18" fillId="5" borderId="43" xfId="0" applyFont="1" applyFill="1" applyBorder="1"/>
    <xf numFmtId="171" fontId="3" fillId="5" borderId="43" xfId="0" applyNumberFormat="1" applyFont="1" applyFill="1" applyBorder="1"/>
    <xf numFmtId="0" fontId="3" fillId="5" borderId="14" xfId="0" applyFont="1" applyFill="1" applyBorder="1"/>
    <xf numFmtId="0" fontId="2" fillId="5" borderId="22" xfId="0" applyFont="1" applyFill="1" applyBorder="1"/>
    <xf numFmtId="9" fontId="18" fillId="5" borderId="22" xfId="0" applyNumberFormat="1" applyFont="1" applyFill="1" applyBorder="1" applyProtection="1">
      <protection locked="0"/>
    </xf>
    <xf numFmtId="3" fontId="3" fillId="5" borderId="22" xfId="0" applyNumberFormat="1" applyFont="1" applyFill="1" applyBorder="1"/>
    <xf numFmtId="171" fontId="2" fillId="0" borderId="0" xfId="0" applyNumberFormat="1" applyFont="1"/>
    <xf numFmtId="0" fontId="2" fillId="0" borderId="25" xfId="0" applyFont="1" applyBorder="1" applyAlignment="1">
      <alignment horizontal="right"/>
    </xf>
    <xf numFmtId="3" fontId="32" fillId="0" borderId="0" xfId="0" applyNumberFormat="1" applyFont="1" applyAlignment="1">
      <alignment horizontal="right"/>
    </xf>
    <xf numFmtId="3" fontId="32" fillId="0" borderId="0" xfId="0" applyNumberFormat="1" applyFont="1" applyAlignment="1">
      <alignment horizontal="right" wrapText="1"/>
    </xf>
    <xf numFmtId="0" fontId="7" fillId="0" borderId="0" xfId="0" applyFont="1" applyAlignment="1">
      <alignment horizontal="right"/>
    </xf>
    <xf numFmtId="171" fontId="2" fillId="0" borderId="25" xfId="0" applyNumberFormat="1" applyFont="1" applyBorder="1"/>
    <xf numFmtId="171" fontId="2" fillId="0" borderId="22" xfId="0" applyNumberFormat="1" applyFont="1" applyBorder="1"/>
    <xf numFmtId="9" fontId="0" fillId="0" borderId="25" xfId="0" applyNumberFormat="1" applyBorder="1"/>
    <xf numFmtId="9" fontId="0" fillId="0" borderId="22" xfId="0" applyNumberFormat="1" applyBorder="1"/>
    <xf numFmtId="3" fontId="40" fillId="2" borderId="0" xfId="0" applyNumberFormat="1" applyFont="1" applyFill="1" applyAlignment="1">
      <alignment horizontal="center"/>
    </xf>
    <xf numFmtId="9" fontId="18" fillId="5" borderId="43" xfId="0" applyNumberFormat="1" applyFont="1" applyFill="1" applyBorder="1" applyProtection="1">
      <protection locked="0"/>
    </xf>
    <xf numFmtId="3" fontId="2" fillId="0" borderId="72" xfId="0" applyNumberFormat="1" applyFont="1" applyBorder="1"/>
    <xf numFmtId="3" fontId="0" fillId="0" borderId="70" xfId="0" applyNumberFormat="1" applyBorder="1"/>
    <xf numFmtId="3" fontId="0" fillId="0" borderId="81" xfId="0" applyNumberFormat="1" applyBorder="1"/>
    <xf numFmtId="0" fontId="2" fillId="0" borderId="72" xfId="0" applyFont="1" applyBorder="1"/>
    <xf numFmtId="0" fontId="3" fillId="0" borderId="72" xfId="0" applyFont="1" applyBorder="1"/>
    <xf numFmtId="3" fontId="41" fillId="0" borderId="0" xfId="0" applyNumberFormat="1" applyFont="1"/>
    <xf numFmtId="3" fontId="22" fillId="0" borderId="0" xfId="0" applyNumberFormat="1" applyFont="1" applyAlignment="1">
      <alignment horizontal="center"/>
    </xf>
    <xf numFmtId="0" fontId="18" fillId="2" borderId="0" xfId="0" applyFont="1" applyFill="1"/>
    <xf numFmtId="3" fontId="18" fillId="2" borderId="0" xfId="0" applyNumberFormat="1" applyFont="1" applyFill="1"/>
    <xf numFmtId="0" fontId="12" fillId="0" borderId="94" xfId="0" applyFont="1" applyBorder="1"/>
    <xf numFmtId="3" fontId="18" fillId="0" borderId="14" xfId="0" applyNumberFormat="1" applyFont="1" applyBorder="1"/>
    <xf numFmtId="3" fontId="18" fillId="0" borderId="19" xfId="0" applyNumberFormat="1" applyFont="1" applyBorder="1"/>
    <xf numFmtId="3" fontId="2" fillId="5" borderId="95" xfId="0" applyNumberFormat="1" applyFont="1" applyFill="1" applyBorder="1"/>
    <xf numFmtId="3" fontId="29" fillId="0" borderId="0" xfId="0" applyNumberFormat="1" applyFont="1"/>
    <xf numFmtId="0" fontId="47" fillId="0" borderId="0" xfId="0" applyFont="1"/>
    <xf numFmtId="0" fontId="34" fillId="0" borderId="0" xfId="0" applyFont="1"/>
    <xf numFmtId="3" fontId="47" fillId="0" borderId="0" xfId="0" applyNumberFormat="1" applyFont="1"/>
    <xf numFmtId="9" fontId="35" fillId="0" borderId="0" xfId="0" applyNumberFormat="1" applyFont="1" applyAlignment="1">
      <alignment horizontal="right"/>
    </xf>
    <xf numFmtId="0" fontId="10" fillId="2" borderId="2" xfId="0" applyFont="1" applyFill="1" applyBorder="1"/>
    <xf numFmtId="0" fontId="9" fillId="2" borderId="2" xfId="0" applyFont="1" applyFill="1" applyBorder="1"/>
    <xf numFmtId="0" fontId="39" fillId="0" borderId="0" xfId="0" applyFont="1"/>
    <xf numFmtId="10" fontId="9" fillId="0" borderId="0" xfId="0" applyNumberFormat="1" applyFont="1"/>
    <xf numFmtId="14" fontId="35" fillId="7" borderId="96" xfId="0" applyNumberFormat="1" applyFont="1" applyFill="1" applyBorder="1" applyProtection="1">
      <protection locked="0"/>
    </xf>
    <xf numFmtId="175" fontId="9" fillId="0" borderId="0" xfId="0" applyNumberFormat="1" applyFont="1"/>
    <xf numFmtId="14" fontId="0" fillId="0" borderId="0" xfId="0" applyNumberFormat="1"/>
    <xf numFmtId="174" fontId="0" fillId="0" borderId="0" xfId="0" applyNumberFormat="1"/>
    <xf numFmtId="0" fontId="35" fillId="0" borderId="0" xfId="0" applyFont="1" applyAlignment="1">
      <alignment horizontal="left"/>
    </xf>
    <xf numFmtId="0" fontId="35" fillId="0" borderId="0" xfId="0" applyFont="1"/>
    <xf numFmtId="3" fontId="28" fillId="5" borderId="2" xfId="0" applyNumberFormat="1" applyFont="1" applyFill="1" applyBorder="1"/>
    <xf numFmtId="0" fontId="10" fillId="2" borderId="28" xfId="0" applyFont="1" applyFill="1" applyBorder="1" applyAlignment="1">
      <alignment horizontal="center" wrapText="1"/>
    </xf>
    <xf numFmtId="0" fontId="0" fillId="2" borderId="70" xfId="0" applyFill="1" applyBorder="1"/>
    <xf numFmtId="0" fontId="0" fillId="2" borderId="35" xfId="0" applyFill="1" applyBorder="1"/>
    <xf numFmtId="0" fontId="0" fillId="2" borderId="35" xfId="0" applyFill="1" applyBorder="1" applyAlignment="1">
      <alignment wrapText="1"/>
    </xf>
    <xf numFmtId="3" fontId="10" fillId="0" borderId="35" xfId="0" applyNumberFormat="1" applyFont="1" applyBorder="1"/>
    <xf numFmtId="4" fontId="47" fillId="0" borderId="0" xfId="0" applyNumberFormat="1" applyFont="1" applyAlignment="1">
      <alignment horizontal="left"/>
    </xf>
    <xf numFmtId="14" fontId="9" fillId="0" borderId="0" xfId="0" applyNumberFormat="1" applyFont="1"/>
    <xf numFmtId="17" fontId="9" fillId="0" borderId="0" xfId="0" applyNumberFormat="1" applyFont="1"/>
    <xf numFmtId="0" fontId="9" fillId="0" borderId="0" xfId="0" applyFont="1" applyAlignment="1">
      <alignment horizontal="center"/>
    </xf>
    <xf numFmtId="0" fontId="9" fillId="0" borderId="0" xfId="0" applyFont="1" applyAlignment="1">
      <alignment horizontal="right"/>
    </xf>
    <xf numFmtId="0" fontId="35" fillId="7" borderId="2" xfId="0" applyFont="1" applyFill="1" applyBorder="1" applyAlignment="1" applyProtection="1">
      <alignment horizontal="right"/>
      <protection locked="0"/>
    </xf>
    <xf numFmtId="0" fontId="10" fillId="2" borderId="86" xfId="0" applyFont="1" applyFill="1" applyBorder="1"/>
    <xf numFmtId="0" fontId="10" fillId="5" borderId="5" xfId="0" applyFont="1" applyFill="1" applyBorder="1"/>
    <xf numFmtId="10" fontId="0" fillId="0" borderId="0" xfId="0" applyNumberFormat="1"/>
    <xf numFmtId="10" fontId="9" fillId="0" borderId="28" xfId="0" applyNumberFormat="1" applyFont="1" applyBorder="1"/>
    <xf numFmtId="0" fontId="3" fillId="5" borderId="20" xfId="0" applyFont="1" applyFill="1" applyBorder="1"/>
    <xf numFmtId="3" fontId="3" fillId="5" borderId="41" xfId="0" applyNumberFormat="1" applyFont="1" applyFill="1" applyBorder="1"/>
    <xf numFmtId="3" fontId="3" fillId="5" borderId="21" xfId="0" applyNumberFormat="1" applyFont="1" applyFill="1" applyBorder="1"/>
    <xf numFmtId="0" fontId="10" fillId="3" borderId="87" xfId="0" applyFont="1" applyFill="1" applyBorder="1"/>
    <xf numFmtId="0" fontId="10" fillId="0" borderId="88" xfId="0" applyFont="1" applyBorder="1"/>
    <xf numFmtId="0" fontId="10" fillId="0" borderId="97" xfId="0" applyFont="1" applyBorder="1"/>
    <xf numFmtId="0" fontId="10" fillId="5" borderId="87" xfId="0" applyFont="1" applyFill="1" applyBorder="1"/>
    <xf numFmtId="0" fontId="10" fillId="5" borderId="88" xfId="0" applyFont="1" applyFill="1" applyBorder="1"/>
    <xf numFmtId="9" fontId="35" fillId="0" borderId="0" xfId="0" applyNumberFormat="1" applyFont="1"/>
    <xf numFmtId="0" fontId="23" fillId="0" borderId="0" xfId="0" applyFont="1" applyAlignment="1">
      <alignment horizontal="left" vertical="top" wrapText="1"/>
    </xf>
    <xf numFmtId="0" fontId="23" fillId="0" borderId="0" xfId="0" applyFont="1" applyAlignment="1">
      <alignment vertical="top" wrapText="1"/>
    </xf>
    <xf numFmtId="0" fontId="10" fillId="5" borderId="93" xfId="0" applyFont="1" applyFill="1" applyBorder="1"/>
    <xf numFmtId="0" fontId="0" fillId="2" borderId="38" xfId="0" applyFill="1" applyBorder="1"/>
    <xf numFmtId="0" fontId="18" fillId="2" borderId="38" xfId="0" applyFont="1" applyFill="1" applyBorder="1"/>
    <xf numFmtId="3" fontId="9" fillId="2" borderId="38" xfId="0" applyNumberFormat="1" applyFont="1" applyFill="1" applyBorder="1"/>
    <xf numFmtId="3" fontId="0" fillId="2" borderId="38" xfId="0" applyNumberFormat="1" applyFill="1" applyBorder="1"/>
    <xf numFmtId="3" fontId="35" fillId="6" borderId="2" xfId="0" applyNumberFormat="1" applyFont="1" applyFill="1" applyBorder="1" applyProtection="1">
      <protection locked="0"/>
    </xf>
    <xf numFmtId="10" fontId="9" fillId="0" borderId="25" xfId="0" applyNumberFormat="1" applyFont="1" applyBorder="1"/>
    <xf numFmtId="3" fontId="2" fillId="5" borderId="2" xfId="0" applyNumberFormat="1" applyFont="1" applyFill="1" applyBorder="1" applyAlignment="1">
      <alignment horizontal="right"/>
    </xf>
    <xf numFmtId="0" fontId="25" fillId="9" borderId="2" xfId="0" applyFont="1" applyFill="1" applyBorder="1"/>
    <xf numFmtId="0" fontId="2" fillId="0" borderId="28" xfId="0" applyFont="1" applyBorder="1" applyAlignment="1">
      <alignment horizontal="left"/>
    </xf>
    <xf numFmtId="10" fontId="10" fillId="0" borderId="13" xfId="5" applyNumberFormat="1" applyFont="1" applyFill="1" applyBorder="1" applyAlignment="1" applyProtection="1">
      <alignment horizontal="right"/>
    </xf>
    <xf numFmtId="0" fontId="2" fillId="0" borderId="24" xfId="0" applyFont="1" applyBorder="1" applyAlignment="1">
      <alignment horizontal="left"/>
    </xf>
    <xf numFmtId="3" fontId="0" fillId="0" borderId="92" xfId="0" applyNumberFormat="1" applyBorder="1"/>
    <xf numFmtId="0" fontId="41" fillId="0" borderId="51" xfId="0" applyFont="1" applyBorder="1" applyAlignment="1">
      <alignment horizontal="center"/>
    </xf>
    <xf numFmtId="10" fontId="10" fillId="0" borderId="0" xfId="0" applyNumberFormat="1" applyFont="1"/>
    <xf numFmtId="0" fontId="18" fillId="0" borderId="30" xfId="0" applyFont="1" applyBorder="1"/>
    <xf numFmtId="3" fontId="40" fillId="0" borderId="30" xfId="0" applyNumberFormat="1" applyFont="1" applyBorder="1"/>
    <xf numFmtId="3" fontId="3" fillId="0" borderId="30" xfId="0" applyNumberFormat="1" applyFont="1" applyBorder="1"/>
    <xf numFmtId="0" fontId="19" fillId="0" borderId="30" xfId="0" applyFont="1" applyBorder="1"/>
    <xf numFmtId="3" fontId="23" fillId="0" borderId="22" xfId="0" applyNumberFormat="1" applyFont="1" applyBorder="1"/>
    <xf numFmtId="3" fontId="10" fillId="2" borderId="84" xfId="0" applyNumberFormat="1" applyFont="1" applyFill="1" applyBorder="1" applyAlignment="1">
      <alignment horizontal="right"/>
    </xf>
    <xf numFmtId="3" fontId="10" fillId="2" borderId="98" xfId="0" applyNumberFormat="1" applyFont="1" applyFill="1" applyBorder="1" applyAlignment="1">
      <alignment horizontal="right"/>
    </xf>
    <xf numFmtId="0" fontId="2" fillId="0" borderId="30" xfId="0" applyFont="1" applyBorder="1" applyAlignment="1">
      <alignment horizontal="right" vertical="top"/>
    </xf>
    <xf numFmtId="0" fontId="2" fillId="0" borderId="30" xfId="0" applyFont="1" applyBorder="1" applyAlignment="1">
      <alignment horizontal="right"/>
    </xf>
    <xf numFmtId="0" fontId="2" fillId="0" borderId="4" xfId="0" applyFont="1" applyBorder="1"/>
    <xf numFmtId="0" fontId="2" fillId="0" borderId="17" xfId="0" applyFont="1" applyBorder="1"/>
    <xf numFmtId="3" fontId="2" fillId="0" borderId="92" xfId="0" applyNumberFormat="1" applyFont="1" applyBorder="1"/>
    <xf numFmtId="3" fontId="0" fillId="0" borderId="75" xfId="0" applyNumberFormat="1" applyBorder="1"/>
    <xf numFmtId="3" fontId="0" fillId="0" borderId="99" xfId="0" applyNumberFormat="1" applyBorder="1"/>
    <xf numFmtId="0" fontId="18" fillId="0" borderId="25" xfId="0" applyFont="1" applyBorder="1"/>
    <xf numFmtId="0" fontId="2" fillId="0" borderId="22" xfId="0" applyFont="1" applyBorder="1" applyAlignment="1">
      <alignment wrapText="1"/>
    </xf>
    <xf numFmtId="0" fontId="2" fillId="0" borderId="50" xfId="0" applyFont="1" applyBorder="1"/>
    <xf numFmtId="0" fontId="2" fillId="0" borderId="51" xfId="0" applyFont="1" applyBorder="1"/>
    <xf numFmtId="0" fontId="25" fillId="0" borderId="2" xfId="0" applyFont="1" applyBorder="1"/>
    <xf numFmtId="172" fontId="23" fillId="0" borderId="22" xfId="0" applyNumberFormat="1" applyFont="1" applyBorder="1" applyAlignment="1">
      <alignment horizontal="right"/>
    </xf>
    <xf numFmtId="176" fontId="23" fillId="0" borderId="0" xfId="0" applyNumberFormat="1" applyFont="1"/>
    <xf numFmtId="177" fontId="2" fillId="0" borderId="0" xfId="0" applyNumberFormat="1" applyFont="1"/>
    <xf numFmtId="0" fontId="0" fillId="10" borderId="38" xfId="0" applyFill="1" applyBorder="1"/>
    <xf numFmtId="0" fontId="2" fillId="5" borderId="5" xfId="0" applyFont="1" applyFill="1" applyBorder="1"/>
    <xf numFmtId="0" fontId="2" fillId="10" borderId="6" xfId="0" applyFont="1" applyFill="1" applyBorder="1"/>
    <xf numFmtId="4" fontId="2" fillId="10" borderId="12" xfId="0" applyNumberFormat="1" applyFont="1" applyFill="1" applyBorder="1"/>
    <xf numFmtId="3" fontId="16" fillId="0" borderId="0" xfId="0" applyNumberFormat="1" applyFont="1"/>
    <xf numFmtId="0" fontId="0" fillId="0" borderId="84" xfId="0" applyBorder="1"/>
    <xf numFmtId="0" fontId="0" fillId="0" borderId="91" xfId="0" applyBorder="1"/>
    <xf numFmtId="0" fontId="59" fillId="0" borderId="0" xfId="0" applyFont="1" applyAlignment="1">
      <alignment horizontal="left"/>
    </xf>
    <xf numFmtId="0" fontId="10" fillId="9" borderId="2" xfId="0" applyFont="1" applyFill="1" applyBorder="1"/>
    <xf numFmtId="0" fontId="62" fillId="5" borderId="22" xfId="0" applyFont="1" applyFill="1" applyBorder="1"/>
    <xf numFmtId="3" fontId="63" fillId="5" borderId="22" xfId="0" applyNumberFormat="1" applyFont="1" applyFill="1" applyBorder="1"/>
    <xf numFmtId="0" fontId="61" fillId="0" borderId="0" xfId="0" applyFont="1"/>
    <xf numFmtId="0" fontId="59" fillId="0" borderId="25" xfId="0" applyFont="1" applyBorder="1" applyAlignment="1">
      <alignment horizontal="left"/>
    </xf>
    <xf numFmtId="0" fontId="46" fillId="0" borderId="26" xfId="0" applyFont="1" applyBorder="1"/>
    <xf numFmtId="3" fontId="40" fillId="0" borderId="26" xfId="0" applyNumberFormat="1" applyFont="1" applyBorder="1"/>
    <xf numFmtId="3" fontId="40" fillId="0" borderId="24" xfId="0" applyNumberFormat="1" applyFont="1" applyBorder="1"/>
    <xf numFmtId="10" fontId="28" fillId="0" borderId="25" xfId="0" applyNumberFormat="1" applyFont="1" applyBorder="1"/>
    <xf numFmtId="173" fontId="0" fillId="0" borderId="0" xfId="0" applyNumberFormat="1"/>
    <xf numFmtId="0" fontId="53" fillId="0" borderId="60" xfId="0" applyFont="1" applyBorder="1" applyAlignment="1">
      <alignment horizontal="left"/>
    </xf>
    <xf numFmtId="0" fontId="53" fillId="0" borderId="82" xfId="0" applyFont="1" applyBorder="1" applyAlignment="1">
      <alignment horizontal="left"/>
    </xf>
    <xf numFmtId="0" fontId="53" fillId="0" borderId="50" xfId="0" applyFont="1" applyBorder="1"/>
    <xf numFmtId="3" fontId="2" fillId="0" borderId="51" xfId="0" applyNumberFormat="1" applyFont="1" applyBorder="1"/>
    <xf numFmtId="3" fontId="2" fillId="0" borderId="101" xfId="0" applyNumberFormat="1" applyFont="1" applyBorder="1"/>
    <xf numFmtId="0" fontId="0" fillId="5" borderId="102" xfId="0" applyFill="1" applyBorder="1"/>
    <xf numFmtId="1" fontId="0" fillId="5" borderId="103" xfId="0" applyNumberFormat="1" applyFill="1" applyBorder="1"/>
    <xf numFmtId="0" fontId="64" fillId="0" borderId="0" xfId="0" applyFont="1"/>
    <xf numFmtId="172" fontId="23" fillId="0" borderId="25" xfId="0" applyNumberFormat="1" applyFont="1" applyBorder="1" applyProtection="1">
      <protection locked="0"/>
    </xf>
    <xf numFmtId="3" fontId="23" fillId="0" borderId="22" xfId="0" applyNumberFormat="1" applyFont="1" applyBorder="1" applyProtection="1">
      <protection locked="0"/>
    </xf>
    <xf numFmtId="3" fontId="23" fillId="0" borderId="25" xfId="0" applyNumberFormat="1" applyFont="1" applyBorder="1" applyProtection="1">
      <protection locked="0"/>
    </xf>
    <xf numFmtId="3" fontId="35" fillId="7" borderId="35" xfId="0" applyNumberFormat="1" applyFont="1" applyFill="1" applyBorder="1" applyProtection="1">
      <protection locked="0"/>
    </xf>
    <xf numFmtId="0" fontId="10" fillId="2" borderId="2" xfId="0" applyFont="1" applyFill="1" applyBorder="1" applyAlignment="1">
      <alignment horizontal="center" wrapText="1"/>
    </xf>
    <xf numFmtId="3" fontId="10" fillId="2" borderId="2" xfId="0" applyNumberFormat="1" applyFont="1" applyFill="1" applyBorder="1" applyAlignment="1">
      <alignment horizontal="center" wrapText="1"/>
    </xf>
    <xf numFmtId="0" fontId="10" fillId="2" borderId="2" xfId="0" applyFont="1" applyFill="1" applyBorder="1" applyAlignment="1">
      <alignment wrapText="1"/>
    </xf>
    <xf numFmtId="4" fontId="47" fillId="0" borderId="0" xfId="0" quotePrefix="1" applyNumberFormat="1" applyFont="1" applyAlignment="1">
      <alignment horizontal="left"/>
    </xf>
    <xf numFmtId="0" fontId="65" fillId="0" borderId="0" xfId="0" applyFont="1"/>
    <xf numFmtId="3" fontId="0" fillId="0" borderId="30" xfId="0" applyNumberFormat="1" applyBorder="1"/>
    <xf numFmtId="0" fontId="67" fillId="0" borderId="0" xfId="0" applyFont="1"/>
    <xf numFmtId="0" fontId="69" fillId="0" borderId="2" xfId="0" applyFont="1" applyBorder="1"/>
    <xf numFmtId="3" fontId="69" fillId="0" borderId="2" xfId="0" applyNumberFormat="1" applyFont="1" applyBorder="1"/>
    <xf numFmtId="0" fontId="2" fillId="0" borderId="19" xfId="0" applyFont="1" applyBorder="1" applyAlignment="1">
      <alignment wrapText="1"/>
    </xf>
    <xf numFmtId="0" fontId="2" fillId="0" borderId="19" xfId="0" applyFont="1" applyBorder="1"/>
    <xf numFmtId="172" fontId="2" fillId="5" borderId="2" xfId="0" applyNumberFormat="1" applyFont="1" applyFill="1" applyBorder="1"/>
    <xf numFmtId="172" fontId="0" fillId="0" borderId="0" xfId="0" applyNumberFormat="1"/>
    <xf numFmtId="172" fontId="18" fillId="0" borderId="0" xfId="0" applyNumberFormat="1" applyFont="1"/>
    <xf numFmtId="172" fontId="2" fillId="0" borderId="0" xfId="0" applyNumberFormat="1" applyFont="1"/>
    <xf numFmtId="3" fontId="35" fillId="0" borderId="0" xfId="0" applyNumberFormat="1" applyFont="1"/>
    <xf numFmtId="3" fontId="35" fillId="0" borderId="0" xfId="5" applyNumberFormat="1" applyFont="1" applyFill="1" applyBorder="1" applyAlignment="1" applyProtection="1">
      <alignment horizontal="right"/>
    </xf>
    <xf numFmtId="3" fontId="3" fillId="0" borderId="22" xfId="0" applyNumberFormat="1" applyFont="1" applyBorder="1"/>
    <xf numFmtId="3" fontId="3" fillId="0" borderId="75" xfId="0" applyNumberFormat="1" applyFont="1" applyBorder="1"/>
    <xf numFmtId="0" fontId="15" fillId="0" borderId="22" xfId="0" applyFont="1" applyBorder="1"/>
    <xf numFmtId="0" fontId="2" fillId="0" borderId="82" xfId="0" applyFont="1" applyBorder="1"/>
    <xf numFmtId="0" fontId="2" fillId="0" borderId="39" xfId="0" applyFont="1" applyBorder="1"/>
    <xf numFmtId="3" fontId="10" fillId="2" borderId="85" xfId="0" applyNumberFormat="1" applyFont="1" applyFill="1" applyBorder="1" applyAlignment="1">
      <alignment horizontal="center"/>
    </xf>
    <xf numFmtId="3" fontId="10" fillId="2" borderId="104" xfId="0" applyNumberFormat="1" applyFont="1" applyFill="1" applyBorder="1" applyAlignment="1">
      <alignment horizontal="center" wrapText="1"/>
    </xf>
    <xf numFmtId="3" fontId="3" fillId="0" borderId="19" xfId="0" applyNumberFormat="1" applyFont="1" applyBorder="1"/>
    <xf numFmtId="0" fontId="0" fillId="0" borderId="19" xfId="0" applyBorder="1"/>
    <xf numFmtId="0" fontId="0" fillId="0" borderId="27" xfId="0" applyBorder="1"/>
    <xf numFmtId="3" fontId="2" fillId="0" borderId="19" xfId="0" applyNumberFormat="1" applyFont="1" applyBorder="1"/>
    <xf numFmtId="3" fontId="0" fillId="0" borderId="27" xfId="0" applyNumberFormat="1" applyBorder="1"/>
    <xf numFmtId="3" fontId="0" fillId="0" borderId="40" xfId="0" applyNumberFormat="1" applyBorder="1"/>
    <xf numFmtId="3" fontId="0" fillId="0" borderId="8" xfId="0" applyNumberFormat="1" applyBorder="1"/>
    <xf numFmtId="3" fontId="3" fillId="5" borderId="50" xfId="0" applyNumberFormat="1" applyFont="1" applyFill="1" applyBorder="1"/>
    <xf numFmtId="3" fontId="3" fillId="5" borderId="51" xfId="0" applyNumberFormat="1" applyFont="1" applyFill="1" applyBorder="1"/>
    <xf numFmtId="3" fontId="2" fillId="0" borderId="99" xfId="0" applyNumberFormat="1" applyFont="1" applyBorder="1"/>
    <xf numFmtId="172" fontId="2" fillId="5" borderId="19" xfId="0" applyNumberFormat="1" applyFont="1" applyFill="1" applyBorder="1"/>
    <xf numFmtId="172" fontId="0" fillId="0" borderId="19" xfId="0" applyNumberFormat="1" applyBorder="1"/>
    <xf numFmtId="0" fontId="2" fillId="2" borderId="28" xfId="0" applyFont="1" applyFill="1" applyBorder="1"/>
    <xf numFmtId="0" fontId="2" fillId="2" borderId="24" xfId="0" applyFont="1" applyFill="1" applyBorder="1"/>
    <xf numFmtId="0" fontId="56" fillId="2" borderId="28" xfId="0" applyFont="1" applyFill="1" applyBorder="1"/>
    <xf numFmtId="0" fontId="56" fillId="2" borderId="24" xfId="0" applyFont="1" applyFill="1" applyBorder="1"/>
    <xf numFmtId="3" fontId="56" fillId="2" borderId="28" xfId="0" applyNumberFormat="1" applyFont="1" applyFill="1" applyBorder="1" applyAlignment="1">
      <alignment horizontal="center"/>
    </xf>
    <xf numFmtId="3" fontId="56" fillId="2" borderId="70" xfId="0" applyNumberFormat="1" applyFont="1" applyFill="1" applyBorder="1" applyAlignment="1">
      <alignment horizontal="center"/>
    </xf>
    <xf numFmtId="3" fontId="56" fillId="2" borderId="36" xfId="0" applyNumberFormat="1" applyFont="1" applyFill="1" applyBorder="1" applyAlignment="1">
      <alignment horizontal="center"/>
    </xf>
    <xf numFmtId="3" fontId="56" fillId="2" borderId="105" xfId="0" applyNumberFormat="1" applyFont="1" applyFill="1" applyBorder="1" applyAlignment="1">
      <alignment horizontal="center"/>
    </xf>
    <xf numFmtId="3" fontId="18" fillId="0" borderId="34" xfId="0" applyNumberFormat="1" applyFont="1" applyBorder="1"/>
    <xf numFmtId="3" fontId="2" fillId="5" borderId="78" xfId="0" applyNumberFormat="1" applyFont="1" applyFill="1" applyBorder="1"/>
    <xf numFmtId="0" fontId="56" fillId="2" borderId="36" xfId="0" applyFont="1" applyFill="1" applyBorder="1" applyAlignment="1">
      <alignment horizontal="center"/>
    </xf>
    <xf numFmtId="0" fontId="56" fillId="2" borderId="105" xfId="0" applyFont="1" applyFill="1" applyBorder="1" applyAlignment="1">
      <alignment horizontal="center"/>
    </xf>
    <xf numFmtId="3" fontId="0" fillId="0" borderId="7" xfId="0" applyNumberFormat="1" applyBorder="1"/>
    <xf numFmtId="0" fontId="50" fillId="0" borderId="60" xfId="0" applyFont="1" applyBorder="1" applyAlignment="1">
      <alignment horizontal="left"/>
    </xf>
    <xf numFmtId="0" fontId="50" fillId="0" borderId="82" xfId="0" applyFont="1" applyBorder="1" applyAlignment="1">
      <alignment horizontal="left"/>
    </xf>
    <xf numFmtId="0" fontId="53" fillId="0" borderId="25" xfId="0" applyFont="1" applyBorder="1" applyAlignment="1">
      <alignment horizontal="right"/>
    </xf>
    <xf numFmtId="0" fontId="53" fillId="0" borderId="99" xfId="0" applyFont="1" applyBorder="1" applyAlignment="1">
      <alignment horizontal="right"/>
    </xf>
    <xf numFmtId="0" fontId="2" fillId="5" borderId="2" xfId="0" applyFont="1" applyFill="1" applyBorder="1"/>
    <xf numFmtId="0" fontId="2" fillId="5" borderId="79" xfId="0" applyFont="1" applyFill="1" applyBorder="1"/>
    <xf numFmtId="172" fontId="2" fillId="0" borderId="2" xfId="0" applyNumberFormat="1" applyFont="1" applyBorder="1"/>
    <xf numFmtId="172" fontId="2" fillId="0" borderId="22" xfId="0" applyNumberFormat="1" applyFont="1" applyBorder="1"/>
    <xf numFmtId="172" fontId="2" fillId="0" borderId="8" xfId="0" applyNumberFormat="1" applyFont="1" applyBorder="1"/>
    <xf numFmtId="172" fontId="18" fillId="0" borderId="2" xfId="0" applyNumberFormat="1" applyFont="1" applyBorder="1"/>
    <xf numFmtId="172" fontId="18" fillId="0" borderId="22" xfId="0" applyNumberFormat="1" applyFont="1" applyBorder="1"/>
    <xf numFmtId="172" fontId="18" fillId="0" borderId="8" xfId="0" applyNumberFormat="1" applyFont="1" applyBorder="1"/>
    <xf numFmtId="172" fontId="2" fillId="0" borderId="106" xfId="0" applyNumberFormat="1" applyFont="1" applyBorder="1"/>
    <xf numFmtId="172" fontId="3" fillId="5" borderId="107" xfId="0" applyNumberFormat="1" applyFont="1" applyFill="1" applyBorder="1"/>
    <xf numFmtId="172" fontId="3" fillId="5" borderId="0" xfId="0" applyNumberFormat="1" applyFont="1" applyFill="1"/>
    <xf numFmtId="172" fontId="3" fillId="5" borderId="106" xfId="0" applyNumberFormat="1" applyFont="1" applyFill="1" applyBorder="1"/>
    <xf numFmtId="172" fontId="3" fillId="0" borderId="0" xfId="0" applyNumberFormat="1" applyFont="1"/>
    <xf numFmtId="172" fontId="3" fillId="0" borderId="106" xfId="0" applyNumberFormat="1" applyFont="1" applyBorder="1"/>
    <xf numFmtId="172" fontId="2" fillId="0" borderId="25" xfId="0" applyNumberFormat="1" applyFont="1" applyBorder="1"/>
    <xf numFmtId="172" fontId="2" fillId="0" borderId="40" xfId="0" applyNumberFormat="1" applyFont="1" applyBorder="1"/>
    <xf numFmtId="172" fontId="0" fillId="0" borderId="106" xfId="0" applyNumberFormat="1" applyBorder="1"/>
    <xf numFmtId="172" fontId="19" fillId="0" borderId="22" xfId="0" applyNumberFormat="1" applyFont="1" applyBorder="1"/>
    <xf numFmtId="172" fontId="19" fillId="0" borderId="8" xfId="0" applyNumberFormat="1" applyFont="1" applyBorder="1"/>
    <xf numFmtId="172" fontId="19" fillId="0" borderId="40" xfId="0" applyNumberFormat="1" applyFont="1" applyBorder="1"/>
    <xf numFmtId="0" fontId="9" fillId="0" borderId="0" xfId="0" applyFont="1" applyProtection="1">
      <protection locked="0"/>
    </xf>
    <xf numFmtId="0" fontId="0" fillId="0" borderId="0" xfId="0" applyProtection="1">
      <protection locked="0"/>
    </xf>
    <xf numFmtId="3" fontId="25" fillId="0" borderId="2" xfId="0" applyNumberFormat="1" applyFont="1" applyBorder="1"/>
    <xf numFmtId="10" fontId="35" fillId="0" borderId="0" xfId="0" applyNumberFormat="1" applyFont="1"/>
    <xf numFmtId="0" fontId="10" fillId="2" borderId="14" xfId="0" applyFont="1" applyFill="1" applyBorder="1"/>
    <xf numFmtId="0" fontId="10" fillId="2" borderId="2" xfId="0" applyFont="1" applyFill="1" applyBorder="1" applyAlignment="1">
      <alignment horizontal="right"/>
    </xf>
    <xf numFmtId="0" fontId="0" fillId="2" borderId="14" xfId="0" applyFill="1" applyBorder="1"/>
    <xf numFmtId="9" fontId="9" fillId="0" borderId="2" xfId="0" applyNumberFormat="1" applyFont="1" applyBorder="1"/>
    <xf numFmtId="9" fontId="9" fillId="0" borderId="0" xfId="0" applyNumberFormat="1" applyFont="1"/>
    <xf numFmtId="9" fontId="10" fillId="2" borderId="19" xfId="0" applyNumberFormat="1" applyFont="1" applyFill="1" applyBorder="1" applyAlignment="1">
      <alignment horizontal="right"/>
    </xf>
    <xf numFmtId="10" fontId="35" fillId="0" borderId="2" xfId="0" applyNumberFormat="1" applyFont="1" applyBorder="1"/>
    <xf numFmtId="0" fontId="18" fillId="0" borderId="25" xfId="0" applyFont="1" applyBorder="1" applyAlignment="1">
      <alignment horizontal="right"/>
    </xf>
    <xf numFmtId="3" fontId="0" fillId="2" borderId="22" xfId="0" applyNumberFormat="1" applyFill="1" applyBorder="1"/>
    <xf numFmtId="3" fontId="9" fillId="2" borderId="2" xfId="0" applyNumberFormat="1" applyFont="1" applyFill="1" applyBorder="1"/>
    <xf numFmtId="3" fontId="0" fillId="2" borderId="19" xfId="0" applyNumberFormat="1" applyFill="1" applyBorder="1"/>
    <xf numFmtId="172" fontId="2" fillId="0" borderId="108" xfId="0" applyNumberFormat="1" applyFont="1" applyBorder="1"/>
    <xf numFmtId="172" fontId="2" fillId="0" borderId="109" xfId="0" applyNumberFormat="1" applyFont="1" applyBorder="1"/>
    <xf numFmtId="0" fontId="71" fillId="2" borderId="38" xfId="0" applyFont="1" applyFill="1" applyBorder="1"/>
    <xf numFmtId="3" fontId="71" fillId="2" borderId="38" xfId="0" applyNumberFormat="1" applyFont="1" applyFill="1" applyBorder="1"/>
    <xf numFmtId="0" fontId="35" fillId="0" borderId="0" xfId="0" applyFont="1" applyProtection="1">
      <protection locked="0"/>
    </xf>
    <xf numFmtId="10" fontId="35" fillId="0" borderId="0" xfId="0" applyNumberFormat="1" applyFont="1" applyProtection="1">
      <protection locked="0"/>
    </xf>
    <xf numFmtId="172" fontId="23" fillId="0" borderId="25" xfId="0" applyNumberFormat="1" applyFont="1" applyBorder="1" applyAlignment="1" applyProtection="1">
      <alignment horizontal="right"/>
      <protection locked="0"/>
    </xf>
    <xf numFmtId="0" fontId="0" fillId="0" borderId="0" xfId="0" applyAlignment="1">
      <alignment wrapText="1"/>
    </xf>
    <xf numFmtId="0" fontId="0" fillId="0" borderId="2" xfId="0" applyBorder="1" applyAlignment="1">
      <alignment wrapText="1"/>
    </xf>
    <xf numFmtId="0" fontId="0" fillId="5" borderId="2" xfId="0" applyFill="1" applyBorder="1" applyAlignment="1">
      <alignment horizontal="center"/>
    </xf>
    <xf numFmtId="3" fontId="1" fillId="0" borderId="2" xfId="0" applyNumberFormat="1" applyFont="1" applyBorder="1"/>
    <xf numFmtId="3" fontId="1" fillId="0" borderId="2" xfId="0" quotePrefix="1" applyNumberFormat="1" applyFont="1" applyBorder="1"/>
    <xf numFmtId="3" fontId="1" fillId="11" borderId="2" xfId="0" quotePrefix="1" applyNumberFormat="1" applyFont="1" applyFill="1" applyBorder="1"/>
    <xf numFmtId="0" fontId="1" fillId="0" borderId="2" xfId="0" applyFont="1" applyBorder="1"/>
    <xf numFmtId="0" fontId="60" fillId="0" borderId="2" xfId="0" applyFont="1" applyBorder="1" applyAlignment="1">
      <alignment wrapText="1"/>
    </xf>
    <xf numFmtId="3" fontId="1" fillId="11" borderId="2" xfId="0" applyNumberFormat="1" applyFont="1" applyFill="1" applyBorder="1"/>
    <xf numFmtId="2" fontId="9" fillId="0" borderId="0" xfId="0" applyNumberFormat="1" applyFont="1"/>
    <xf numFmtId="0" fontId="28" fillId="0" borderId="14" xfId="0" applyFont="1" applyBorder="1"/>
    <xf numFmtId="10" fontId="35" fillId="7" borderId="96" xfId="0" applyNumberFormat="1" applyFont="1" applyFill="1" applyBorder="1" applyAlignment="1" applyProtection="1">
      <alignment horizontal="right"/>
      <protection locked="0"/>
    </xf>
    <xf numFmtId="0" fontId="72" fillId="0" borderId="0" xfId="0" applyFont="1"/>
    <xf numFmtId="168" fontId="22" fillId="0" borderId="22" xfId="0" applyNumberFormat="1" applyFont="1" applyBorder="1"/>
    <xf numFmtId="168" fontId="23" fillId="0" borderId="0" xfId="0" applyNumberFormat="1" applyFont="1"/>
    <xf numFmtId="0" fontId="2" fillId="0" borderId="3" xfId="0" applyFont="1" applyBorder="1"/>
    <xf numFmtId="0" fontId="2" fillId="0" borderId="2" xfId="0" applyFont="1" applyBorder="1"/>
    <xf numFmtId="0" fontId="26" fillId="0" borderId="0" xfId="0" applyFont="1"/>
    <xf numFmtId="0" fontId="26" fillId="0" borderId="25" xfId="0" applyFont="1" applyBorder="1"/>
    <xf numFmtId="0" fontId="22" fillId="0" borderId="0" xfId="0" applyFont="1"/>
    <xf numFmtId="168" fontId="23" fillId="0" borderId="0" xfId="0" applyNumberFormat="1" applyFont="1" applyAlignment="1">
      <alignment horizontal="center"/>
    </xf>
    <xf numFmtId="168" fontId="22" fillId="0" borderId="0" xfId="0" applyNumberFormat="1" applyFont="1"/>
    <xf numFmtId="168" fontId="22" fillId="0" borderId="25" xfId="0" applyNumberFormat="1" applyFont="1" applyBorder="1"/>
    <xf numFmtId="3" fontId="19" fillId="0" borderId="5" xfId="0" applyNumberFormat="1" applyFont="1" applyBorder="1" applyAlignment="1">
      <alignment wrapText="1"/>
    </xf>
    <xf numFmtId="0" fontId="19" fillId="0" borderId="86" xfId="0" applyFont="1" applyBorder="1" applyAlignment="1">
      <alignment wrapText="1"/>
    </xf>
    <xf numFmtId="3" fontId="23" fillId="0" borderId="5" xfId="0" applyNumberFormat="1" applyFont="1" applyBorder="1" applyAlignment="1">
      <alignment wrapText="1"/>
    </xf>
    <xf numFmtId="3" fontId="18" fillId="0" borderId="5" xfId="0" applyNumberFormat="1" applyFont="1" applyBorder="1" applyAlignment="1">
      <alignment wrapText="1"/>
    </xf>
    <xf numFmtId="3" fontId="22" fillId="5" borderId="5" xfId="0" applyNumberFormat="1" applyFont="1" applyFill="1" applyBorder="1" applyAlignment="1">
      <alignment wrapText="1"/>
    </xf>
    <xf numFmtId="0" fontId="19" fillId="0" borderId="5" xfId="0" applyFont="1" applyBorder="1" applyAlignment="1">
      <alignment wrapText="1"/>
    </xf>
    <xf numFmtId="3" fontId="22" fillId="0" borderId="5" xfId="0" applyNumberFormat="1" applyFont="1" applyBorder="1" applyAlignment="1">
      <alignment wrapText="1"/>
    </xf>
    <xf numFmtId="3" fontId="27" fillId="5" borderId="6" xfId="0" applyNumberFormat="1" applyFont="1" applyFill="1" applyBorder="1" applyAlignment="1">
      <alignment wrapText="1"/>
    </xf>
    <xf numFmtId="3" fontId="32" fillId="0" borderId="0" xfId="0" applyNumberFormat="1" applyFont="1" applyAlignment="1">
      <alignment wrapText="1"/>
    </xf>
    <xf numFmtId="0" fontId="23" fillId="0" borderId="5" xfId="0" applyFont="1" applyBorder="1" applyAlignment="1">
      <alignment wrapText="1"/>
    </xf>
    <xf numFmtId="3" fontId="19" fillId="0" borderId="22" xfId="0" applyNumberFormat="1" applyFont="1" applyBorder="1"/>
    <xf numFmtId="10" fontId="28" fillId="0" borderId="22" xfId="0" applyNumberFormat="1" applyFont="1" applyBorder="1"/>
    <xf numFmtId="3" fontId="28" fillId="0" borderId="2" xfId="0" applyNumberFormat="1" applyFont="1" applyBorder="1"/>
    <xf numFmtId="4" fontId="35" fillId="7" borderId="2" xfId="0" applyNumberFormat="1" applyFont="1" applyFill="1" applyBorder="1" applyProtection="1">
      <protection locked="0"/>
    </xf>
    <xf numFmtId="172" fontId="18" fillId="0" borderId="19" xfId="0" applyNumberFormat="1" applyFont="1" applyBorder="1"/>
    <xf numFmtId="172" fontId="18" fillId="0" borderId="13" xfId="0" applyNumberFormat="1" applyFont="1" applyBorder="1"/>
    <xf numFmtId="172" fontId="18" fillId="0" borderId="23" xfId="0" applyNumberFormat="1" applyFont="1" applyBorder="1"/>
    <xf numFmtId="172" fontId="3" fillId="5" borderId="16" xfId="3" applyNumberFormat="1" applyFont="1" applyFill="1" applyBorder="1"/>
    <xf numFmtId="172" fontId="3" fillId="5" borderId="16" xfId="0" applyNumberFormat="1" applyFont="1" applyFill="1" applyBorder="1"/>
    <xf numFmtId="172" fontId="18" fillId="0" borderId="27" xfId="0" applyNumberFormat="1" applyFont="1" applyBorder="1"/>
    <xf numFmtId="172" fontId="18" fillId="0" borderId="35" xfId="0" applyNumberFormat="1" applyFont="1" applyBorder="1"/>
    <xf numFmtId="172" fontId="2" fillId="0" borderId="19" xfId="0" applyNumberFormat="1" applyFont="1" applyBorder="1"/>
    <xf numFmtId="172" fontId="18" fillId="0" borderId="19" xfId="3" applyNumberFormat="1" applyFont="1" applyBorder="1"/>
    <xf numFmtId="172" fontId="2" fillId="2" borderId="22" xfId="0" applyNumberFormat="1" applyFont="1" applyFill="1" applyBorder="1" applyAlignment="1">
      <alignment horizontal="center"/>
    </xf>
    <xf numFmtId="172" fontId="56" fillId="2" borderId="13" xfId="0" applyNumberFormat="1" applyFont="1" applyFill="1" applyBorder="1" applyAlignment="1">
      <alignment horizontal="center"/>
    </xf>
    <xf numFmtId="172" fontId="2" fillId="2" borderId="2" xfId="0" applyNumberFormat="1" applyFont="1" applyFill="1" applyBorder="1" applyAlignment="1">
      <alignment horizontal="center"/>
    </xf>
    <xf numFmtId="172" fontId="3" fillId="5" borderId="26" xfId="3" applyNumberFormat="1" applyFont="1" applyFill="1" applyBorder="1"/>
    <xf numFmtId="172" fontId="3" fillId="5" borderId="13" xfId="3" applyNumberFormat="1" applyFont="1" applyFill="1" applyBorder="1"/>
    <xf numFmtId="172" fontId="3" fillId="5" borderId="23" xfId="3" applyNumberFormat="1" applyFont="1" applyFill="1" applyBorder="1"/>
    <xf numFmtId="172" fontId="15" fillId="0" borderId="0" xfId="0" applyNumberFormat="1" applyFont="1"/>
    <xf numFmtId="172" fontId="18" fillId="0" borderId="25" xfId="3" applyNumberFormat="1" applyFont="1" applyBorder="1"/>
    <xf numFmtId="172" fontId="18" fillId="0" borderId="22" xfId="3" applyNumberFormat="1" applyFont="1" applyBorder="1"/>
    <xf numFmtId="172" fontId="18" fillId="0" borderId="26" xfId="3" applyNumberFormat="1" applyFont="1" applyBorder="1"/>
    <xf numFmtId="172" fontId="18" fillId="0" borderId="107" xfId="0" applyNumberFormat="1" applyFont="1" applyBorder="1"/>
    <xf numFmtId="172" fontId="3" fillId="5" borderId="0" xfId="3" applyNumberFormat="1" applyFont="1" applyFill="1" applyBorder="1"/>
    <xf numFmtId="172" fontId="3" fillId="5" borderId="107" xfId="3" applyNumberFormat="1" applyFont="1" applyFill="1" applyBorder="1"/>
    <xf numFmtId="172" fontId="23" fillId="0" borderId="22" xfId="3" applyNumberFormat="1" applyFont="1" applyFill="1" applyBorder="1"/>
    <xf numFmtId="172" fontId="2" fillId="0" borderId="22" xfId="0" applyNumberFormat="1" applyFont="1" applyBorder="1" applyProtection="1">
      <protection locked="0"/>
    </xf>
    <xf numFmtId="172" fontId="18" fillId="0" borderId="19" xfId="0" quotePrefix="1" applyNumberFormat="1" applyFont="1" applyBorder="1"/>
    <xf numFmtId="172" fontId="18" fillId="0" borderId="26" xfId="0" applyNumberFormat="1" applyFont="1" applyBorder="1"/>
    <xf numFmtId="172" fontId="18" fillId="0" borderId="26" xfId="0" applyNumberFormat="1" applyFont="1" applyBorder="1" applyProtection="1">
      <protection locked="0"/>
    </xf>
    <xf numFmtId="172" fontId="18" fillId="0" borderId="0" xfId="3" applyNumberFormat="1" applyFont="1" applyBorder="1"/>
    <xf numFmtId="172" fontId="18" fillId="0" borderId="16" xfId="3" applyNumberFormat="1" applyFont="1" applyBorder="1"/>
    <xf numFmtId="172" fontId="18" fillId="0" borderId="107" xfId="3" applyNumberFormat="1" applyFont="1" applyBorder="1"/>
    <xf numFmtId="172" fontId="3" fillId="5" borderId="25" xfId="3" applyNumberFormat="1" applyFont="1" applyFill="1" applyBorder="1"/>
    <xf numFmtId="172" fontId="3" fillId="5" borderId="27" xfId="3" applyNumberFormat="1" applyFont="1" applyFill="1" applyBorder="1"/>
    <xf numFmtId="172" fontId="3" fillId="5" borderId="35" xfId="3" applyNumberFormat="1" applyFont="1" applyFill="1" applyBorder="1"/>
    <xf numFmtId="3" fontId="19" fillId="0" borderId="67" xfId="0" applyNumberFormat="1" applyFont="1" applyBorder="1"/>
    <xf numFmtId="172" fontId="0" fillId="0" borderId="75" xfId="0" applyNumberFormat="1" applyBorder="1"/>
    <xf numFmtId="172" fontId="0" fillId="0" borderId="13" xfId="0" applyNumberFormat="1" applyBorder="1"/>
    <xf numFmtId="172" fontId="0" fillId="0" borderId="110" xfId="0" applyNumberFormat="1" applyBorder="1"/>
    <xf numFmtId="172" fontId="0" fillId="0" borderId="16" xfId="0" applyNumberFormat="1" applyBorder="1"/>
    <xf numFmtId="172" fontId="0" fillId="0" borderId="92" xfId="0" applyNumberFormat="1" applyBorder="1"/>
    <xf numFmtId="172" fontId="0" fillId="0" borderId="111" xfId="0" applyNumberFormat="1" applyBorder="1"/>
    <xf numFmtId="172" fontId="3" fillId="0" borderId="16" xfId="0" applyNumberFormat="1" applyFont="1" applyBorder="1"/>
    <xf numFmtId="172" fontId="3" fillId="0" borderId="92" xfId="0" applyNumberFormat="1" applyFont="1" applyBorder="1"/>
    <xf numFmtId="172" fontId="18" fillId="0" borderId="25" xfId="0" applyNumberFormat="1" applyFont="1" applyBorder="1"/>
    <xf numFmtId="172" fontId="0" fillId="0" borderId="25" xfId="0" applyNumberFormat="1" applyBorder="1"/>
    <xf numFmtId="172" fontId="0" fillId="0" borderId="27" xfId="0" applyNumberFormat="1" applyBorder="1"/>
    <xf numFmtId="172" fontId="0" fillId="0" borderId="99" xfId="0" applyNumberFormat="1" applyBorder="1"/>
    <xf numFmtId="172" fontId="46" fillId="0" borderId="0" xfId="0" applyNumberFormat="1" applyFont="1"/>
    <xf numFmtId="172" fontId="0" fillId="0" borderId="40" xfId="0" applyNumberFormat="1" applyBorder="1"/>
    <xf numFmtId="172" fontId="2" fillId="0" borderId="16" xfId="0" applyNumberFormat="1" applyFont="1" applyBorder="1"/>
    <xf numFmtId="172" fontId="2" fillId="0" borderId="92" xfId="0" applyNumberFormat="1" applyFont="1" applyBorder="1"/>
    <xf numFmtId="172" fontId="3" fillId="0" borderId="0" xfId="3" applyNumberFormat="1" applyFont="1" applyFill="1" applyBorder="1"/>
    <xf numFmtId="172" fontId="7" fillId="0" borderId="0" xfId="0" applyNumberFormat="1" applyFont="1"/>
    <xf numFmtId="172" fontId="10" fillId="2" borderId="71" xfId="0" applyNumberFormat="1" applyFont="1" applyFill="1" applyBorder="1" applyAlignment="1">
      <alignment horizontal="center"/>
    </xf>
    <xf numFmtId="172" fontId="10" fillId="2" borderId="11" xfId="0" applyNumberFormat="1" applyFont="1" applyFill="1" applyBorder="1" applyAlignment="1">
      <alignment horizontal="center"/>
    </xf>
    <xf numFmtId="172" fontId="2" fillId="0" borderId="75" xfId="0" applyNumberFormat="1" applyFont="1" applyBorder="1"/>
    <xf numFmtId="172" fontId="2" fillId="0" borderId="26" xfId="0" applyNumberFormat="1" applyFont="1" applyBorder="1"/>
    <xf numFmtId="172" fontId="2" fillId="0" borderId="111" xfId="0" applyNumberFormat="1" applyFont="1" applyBorder="1"/>
    <xf numFmtId="172" fontId="2" fillId="0" borderId="92" xfId="0" applyNumberFormat="1" applyFont="1" applyBorder="1" applyAlignment="1">
      <alignment horizontal="left" indent="1"/>
    </xf>
    <xf numFmtId="172" fontId="10" fillId="2" borderId="85" xfId="0" applyNumberFormat="1" applyFont="1" applyFill="1" applyBorder="1" applyAlignment="1">
      <alignment horizontal="center"/>
    </xf>
    <xf numFmtId="172" fontId="23" fillId="0" borderId="14" xfId="0" applyNumberFormat="1" applyFont="1" applyBorder="1"/>
    <xf numFmtId="10" fontId="25" fillId="0" borderId="13" xfId="0" applyNumberFormat="1" applyFont="1" applyBorder="1"/>
    <xf numFmtId="0" fontId="10" fillId="2" borderId="35" xfId="0" applyFont="1" applyFill="1" applyBorder="1" applyAlignment="1">
      <alignment horizontal="center"/>
    </xf>
    <xf numFmtId="179" fontId="0" fillId="5" borderId="112" xfId="0" applyNumberFormat="1" applyFill="1" applyBorder="1"/>
    <xf numFmtId="178" fontId="0" fillId="0" borderId="7" xfId="0" applyNumberFormat="1" applyBorder="1"/>
    <xf numFmtId="3" fontId="18" fillId="0" borderId="22" xfId="3" applyNumberFormat="1" applyFont="1" applyBorder="1"/>
    <xf numFmtId="3" fontId="25" fillId="12" borderId="2" xfId="5" applyNumberFormat="1" applyFont="1" applyFill="1" applyBorder="1" applyAlignment="1" applyProtection="1">
      <alignment horizontal="right"/>
    </xf>
    <xf numFmtId="4" fontId="0" fillId="2" borderId="0" xfId="0" applyNumberFormat="1" applyFill="1"/>
    <xf numFmtId="10" fontId="0" fillId="0" borderId="2" xfId="0" applyNumberFormat="1" applyBorder="1"/>
    <xf numFmtId="4" fontId="0" fillId="0" borderId="2" xfId="0" applyNumberFormat="1" applyBorder="1"/>
    <xf numFmtId="4" fontId="0" fillId="2" borderId="2" xfId="0" applyNumberFormat="1" applyFill="1" applyBorder="1"/>
    <xf numFmtId="0" fontId="2" fillId="2" borderId="2" xfId="0" applyFont="1" applyFill="1" applyBorder="1"/>
    <xf numFmtId="0" fontId="2" fillId="2" borderId="2" xfId="0" applyFont="1" applyFill="1" applyBorder="1" applyAlignment="1">
      <alignment horizontal="center"/>
    </xf>
    <xf numFmtId="4" fontId="0" fillId="0" borderId="43" xfId="0" applyNumberFormat="1" applyBorder="1"/>
    <xf numFmtId="0" fontId="0" fillId="0" borderId="43" xfId="0" applyBorder="1"/>
    <xf numFmtId="0" fontId="0" fillId="0" borderId="113" xfId="0" applyBorder="1"/>
    <xf numFmtId="4" fontId="0" fillId="0" borderId="114" xfId="0" applyNumberFormat="1" applyBorder="1"/>
    <xf numFmtId="3" fontId="10" fillId="0" borderId="26" xfId="0" applyNumberFormat="1" applyFont="1" applyBorder="1" applyAlignment="1">
      <alignment horizontal="right"/>
    </xf>
    <xf numFmtId="180" fontId="35" fillId="7" borderId="2" xfId="0" applyNumberFormat="1" applyFont="1" applyFill="1" applyBorder="1" applyProtection="1">
      <protection locked="0"/>
    </xf>
    <xf numFmtId="0" fontId="73" fillId="0" borderId="0" xfId="0" applyFont="1"/>
    <xf numFmtId="0" fontId="66" fillId="0" borderId="115" xfId="0" applyFont="1" applyBorder="1"/>
    <xf numFmtId="0" fontId="66" fillId="0" borderId="116" xfId="0" applyFont="1" applyBorder="1"/>
    <xf numFmtId="178" fontId="66" fillId="0" borderId="115" xfId="0" applyNumberFormat="1" applyFont="1" applyBorder="1"/>
    <xf numFmtId="1" fontId="66" fillId="0" borderId="115" xfId="0" applyNumberFormat="1" applyFont="1" applyBorder="1"/>
    <xf numFmtId="1" fontId="66" fillId="0" borderId="116" xfId="0" applyNumberFormat="1" applyFont="1" applyBorder="1"/>
    <xf numFmtId="3" fontId="35" fillId="7" borderId="35" xfId="0" applyNumberFormat="1" applyFont="1" applyFill="1" applyBorder="1" applyAlignment="1" applyProtection="1">
      <alignment horizontal="right"/>
      <protection locked="0"/>
    </xf>
    <xf numFmtId="172" fontId="22" fillId="0" borderId="22" xfId="0" applyNumberFormat="1" applyFont="1" applyBorder="1"/>
    <xf numFmtId="10" fontId="18" fillId="0" borderId="25" xfId="0" applyNumberFormat="1" applyFont="1" applyBorder="1" applyProtection="1">
      <protection locked="0"/>
    </xf>
    <xf numFmtId="3" fontId="18" fillId="0" borderId="25" xfId="0" applyNumberFormat="1" applyFont="1" applyBorder="1" applyProtection="1">
      <protection locked="0"/>
    </xf>
    <xf numFmtId="173" fontId="2" fillId="0" borderId="0" xfId="0" applyNumberFormat="1" applyFont="1"/>
    <xf numFmtId="3" fontId="2" fillId="0" borderId="0" xfId="0" applyNumberFormat="1" applyFont="1" applyProtection="1">
      <protection locked="0"/>
    </xf>
    <xf numFmtId="3" fontId="18" fillId="0" borderId="27" xfId="0" applyNumberFormat="1" applyFont="1" applyBorder="1" applyProtection="1">
      <protection locked="0"/>
    </xf>
    <xf numFmtId="3" fontId="18" fillId="0" borderId="19" xfId="0" applyNumberFormat="1" applyFont="1" applyBorder="1" applyProtection="1">
      <protection locked="0"/>
    </xf>
    <xf numFmtId="3" fontId="2" fillId="0" borderId="19" xfId="0" applyNumberFormat="1" applyFont="1" applyBorder="1" applyProtection="1">
      <protection locked="0"/>
    </xf>
    <xf numFmtId="49" fontId="2" fillId="5" borderId="14" xfId="0" applyNumberFormat="1" applyFont="1" applyFill="1" applyBorder="1"/>
    <xf numFmtId="3" fontId="2" fillId="5" borderId="19" xfId="0" applyNumberFormat="1" applyFont="1" applyFill="1" applyBorder="1" applyProtection="1">
      <protection locked="0"/>
    </xf>
    <xf numFmtId="0" fontId="2" fillId="2" borderId="14" xfId="0" applyFont="1" applyFill="1" applyBorder="1" applyAlignment="1">
      <alignment horizontal="center" wrapText="1"/>
    </xf>
    <xf numFmtId="3" fontId="2" fillId="2" borderId="22" xfId="0" applyNumberFormat="1" applyFont="1" applyFill="1" applyBorder="1" applyAlignment="1">
      <alignment horizontal="center" wrapText="1"/>
    </xf>
    <xf numFmtId="49" fontId="2" fillId="0" borderId="26" xfId="0" applyNumberFormat="1" applyFont="1" applyBorder="1"/>
    <xf numFmtId="0" fontId="2" fillId="0" borderId="26" xfId="0" applyFont="1" applyBorder="1" applyProtection="1">
      <protection locked="0"/>
    </xf>
    <xf numFmtId="3" fontId="18" fillId="0" borderId="26" xfId="0" applyNumberFormat="1" applyFont="1" applyBorder="1"/>
    <xf numFmtId="0" fontId="18" fillId="0" borderId="26" xfId="0" applyFont="1" applyBorder="1" applyProtection="1">
      <protection locked="0"/>
    </xf>
    <xf numFmtId="3" fontId="18" fillId="0" borderId="26" xfId="0" applyNumberFormat="1" applyFont="1" applyBorder="1" applyProtection="1">
      <protection locked="0"/>
    </xf>
    <xf numFmtId="3" fontId="18" fillId="0" borderId="70" xfId="0" applyNumberFormat="1" applyFont="1" applyBorder="1"/>
    <xf numFmtId="3" fontId="2" fillId="0" borderId="105" xfId="0" applyNumberFormat="1" applyFont="1" applyBorder="1"/>
    <xf numFmtId="3" fontId="18" fillId="0" borderId="27" xfId="0" applyNumberFormat="1" applyFont="1" applyBorder="1"/>
    <xf numFmtId="3" fontId="2" fillId="0" borderId="16" xfId="0" applyNumberFormat="1" applyFont="1" applyBorder="1"/>
    <xf numFmtId="0" fontId="2" fillId="0" borderId="5" xfId="0" applyFont="1" applyBorder="1"/>
    <xf numFmtId="3" fontId="2" fillId="0" borderId="7" xfId="0" applyNumberFormat="1" applyFont="1" applyBorder="1"/>
    <xf numFmtId="0" fontId="15" fillId="5" borderId="70" xfId="0" applyFont="1" applyFill="1" applyBorder="1"/>
    <xf numFmtId="172" fontId="3" fillId="5" borderId="25" xfId="0" applyNumberFormat="1" applyFont="1" applyFill="1" applyBorder="1"/>
    <xf numFmtId="172" fontId="3" fillId="5" borderId="27" xfId="0" applyNumberFormat="1" applyFont="1" applyFill="1" applyBorder="1"/>
    <xf numFmtId="0" fontId="2" fillId="5" borderId="25" xfId="0" applyFont="1" applyFill="1" applyBorder="1"/>
    <xf numFmtId="172" fontId="2" fillId="5" borderId="25" xfId="0" applyNumberFormat="1" applyFont="1" applyFill="1" applyBorder="1"/>
    <xf numFmtId="172" fontId="2" fillId="5" borderId="27" xfId="0" applyNumberFormat="1" applyFont="1" applyFill="1" applyBorder="1"/>
    <xf numFmtId="172" fontId="2" fillId="5" borderId="99" xfId="0" applyNumberFormat="1" applyFont="1" applyFill="1" applyBorder="1"/>
    <xf numFmtId="0" fontId="2" fillId="5" borderId="15" xfId="0" applyFont="1" applyFill="1" applyBorder="1"/>
    <xf numFmtId="0" fontId="2" fillId="5" borderId="3" xfId="0" applyFont="1" applyFill="1" applyBorder="1"/>
    <xf numFmtId="3" fontId="3" fillId="5" borderId="82" xfId="0" applyNumberFormat="1" applyFont="1" applyFill="1" applyBorder="1"/>
    <xf numFmtId="172" fontId="3" fillId="5" borderId="99" xfId="0" applyNumberFormat="1" applyFont="1" applyFill="1" applyBorder="1"/>
    <xf numFmtId="3" fontId="0" fillId="0" borderId="19" xfId="0" applyNumberFormat="1" applyBorder="1"/>
    <xf numFmtId="3" fontId="2" fillId="5" borderId="75" xfId="0" applyNumberFormat="1" applyFont="1" applyFill="1" applyBorder="1"/>
    <xf numFmtId="172" fontId="2" fillId="5" borderId="22" xfId="0" applyNumberFormat="1" applyFont="1" applyFill="1" applyBorder="1"/>
    <xf numFmtId="172" fontId="2" fillId="5" borderId="75" xfId="0" applyNumberFormat="1" applyFont="1" applyFill="1" applyBorder="1"/>
    <xf numFmtId="3" fontId="40" fillId="5" borderId="82" xfId="0" applyNumberFormat="1" applyFont="1" applyFill="1" applyBorder="1"/>
    <xf numFmtId="3" fontId="40" fillId="5" borderId="25" xfId="0" applyNumberFormat="1" applyFont="1" applyFill="1" applyBorder="1"/>
    <xf numFmtId="172" fontId="40" fillId="5" borderId="25" xfId="0" applyNumberFormat="1" applyFont="1" applyFill="1" applyBorder="1"/>
    <xf numFmtId="172" fontId="40" fillId="5" borderId="27" xfId="0" applyNumberFormat="1" applyFont="1" applyFill="1" applyBorder="1"/>
    <xf numFmtId="172" fontId="40" fillId="5" borderId="99" xfId="0" applyNumberFormat="1" applyFont="1" applyFill="1" applyBorder="1"/>
    <xf numFmtId="3" fontId="3" fillId="5" borderId="25" xfId="0" applyNumberFormat="1" applyFont="1" applyFill="1" applyBorder="1"/>
    <xf numFmtId="3" fontId="2" fillId="5" borderId="25" xfId="0" applyNumberFormat="1" applyFont="1" applyFill="1" applyBorder="1"/>
    <xf numFmtId="3" fontId="2" fillId="5" borderId="27" xfId="0" applyNumberFormat="1" applyFont="1" applyFill="1" applyBorder="1"/>
    <xf numFmtId="3" fontId="2" fillId="5" borderId="99" xfId="0" applyNumberFormat="1" applyFont="1" applyFill="1" applyBorder="1"/>
    <xf numFmtId="0" fontId="15" fillId="5" borderId="25" xfId="0" applyFont="1" applyFill="1" applyBorder="1"/>
    <xf numFmtId="3" fontId="2" fillId="5" borderId="8" xfId="0" applyNumberFormat="1" applyFont="1" applyFill="1" applyBorder="1"/>
    <xf numFmtId="172" fontId="2" fillId="5" borderId="40" xfId="0" applyNumberFormat="1" applyFont="1" applyFill="1" applyBorder="1"/>
    <xf numFmtId="3" fontId="9" fillId="2" borderId="38" xfId="0" applyNumberFormat="1" applyFont="1" applyFill="1" applyBorder="1" applyAlignment="1">
      <alignment horizontal="right"/>
    </xf>
    <xf numFmtId="0" fontId="0" fillId="0" borderId="0" xfId="0" applyAlignment="1">
      <alignment horizontal="right"/>
    </xf>
    <xf numFmtId="0" fontId="41" fillId="0" borderId="51" xfId="0" applyFont="1" applyBorder="1" applyAlignment="1">
      <alignment horizontal="right"/>
    </xf>
    <xf numFmtId="172" fontId="2" fillId="0" borderId="2" xfId="0" applyNumberFormat="1" applyFont="1" applyBorder="1" applyAlignment="1">
      <alignment horizontal="right"/>
    </xf>
    <xf numFmtId="172" fontId="19" fillId="0" borderId="2" xfId="0" applyNumberFormat="1" applyFont="1" applyBorder="1" applyAlignment="1">
      <alignment horizontal="right"/>
    </xf>
    <xf numFmtId="172" fontId="19" fillId="0" borderId="19" xfId="0" applyNumberFormat="1" applyFont="1" applyBorder="1" applyAlignment="1">
      <alignment horizontal="right"/>
    </xf>
    <xf numFmtId="172" fontId="18" fillId="0" borderId="2" xfId="0" applyNumberFormat="1" applyFont="1" applyBorder="1" applyAlignment="1">
      <alignment horizontal="right"/>
    </xf>
    <xf numFmtId="172" fontId="2" fillId="0" borderId="107" xfId="0" applyNumberFormat="1" applyFont="1" applyBorder="1" applyAlignment="1">
      <alignment horizontal="right"/>
    </xf>
    <xf numFmtId="172" fontId="3" fillId="5" borderId="107" xfId="0" applyNumberFormat="1" applyFont="1" applyFill="1" applyBorder="1" applyAlignment="1">
      <alignment horizontal="right"/>
    </xf>
    <xf numFmtId="172" fontId="3" fillId="0" borderId="107" xfId="0" applyNumberFormat="1" applyFont="1" applyBorder="1" applyAlignment="1">
      <alignment horizontal="right"/>
    </xf>
    <xf numFmtId="172" fontId="2" fillId="0" borderId="35" xfId="0" applyNumberFormat="1" applyFont="1" applyBorder="1" applyAlignment="1">
      <alignment horizontal="right"/>
    </xf>
    <xf numFmtId="172" fontId="0" fillId="0" borderId="107" xfId="0" applyNumberFormat="1" applyBorder="1" applyAlignment="1">
      <alignment horizontal="right"/>
    </xf>
    <xf numFmtId="172" fontId="19" fillId="0" borderId="35" xfId="0" applyNumberFormat="1" applyFont="1" applyBorder="1" applyAlignment="1">
      <alignment horizontal="right"/>
    </xf>
    <xf numFmtId="172" fontId="2" fillId="0" borderId="108" xfId="0" applyNumberFormat="1" applyFont="1" applyBorder="1" applyAlignment="1">
      <alignment horizontal="right"/>
    </xf>
    <xf numFmtId="172" fontId="2" fillId="0" borderId="0" xfId="0" applyNumberFormat="1" applyFont="1" applyAlignment="1">
      <alignment horizontal="right"/>
    </xf>
    <xf numFmtId="3" fontId="10" fillId="2" borderId="71" xfId="0" applyNumberFormat="1" applyFont="1" applyFill="1" applyBorder="1" applyAlignment="1">
      <alignment horizontal="right"/>
    </xf>
    <xf numFmtId="172" fontId="2" fillId="0" borderId="22" xfId="0" applyNumberFormat="1" applyFont="1" applyBorder="1" applyAlignment="1">
      <alignment horizontal="right"/>
    </xf>
    <xf numFmtId="172" fontId="18" fillId="0" borderId="0" xfId="0" applyNumberFormat="1" applyFont="1" applyAlignment="1">
      <alignment horizontal="right"/>
    </xf>
    <xf numFmtId="172" fontId="18" fillId="0" borderId="22" xfId="0" applyNumberFormat="1" applyFont="1" applyBorder="1" applyAlignment="1">
      <alignment horizontal="right"/>
    </xf>
    <xf numFmtId="172" fontId="3" fillId="5" borderId="25" xfId="0" applyNumberFormat="1" applyFont="1" applyFill="1" applyBorder="1" applyAlignment="1">
      <alignment horizontal="right"/>
    </xf>
    <xf numFmtId="172" fontId="18" fillId="0" borderId="26" xfId="0" applyNumberFormat="1" applyFont="1" applyBorder="1" applyAlignment="1">
      <alignment horizontal="right"/>
    </xf>
    <xf numFmtId="172" fontId="3" fillId="0" borderId="0" xfId="0" applyNumberFormat="1" applyFont="1" applyAlignment="1">
      <alignment horizontal="right"/>
    </xf>
    <xf numFmtId="172" fontId="0" fillId="0" borderId="0" xfId="0" applyNumberFormat="1" applyAlignment="1">
      <alignment horizontal="right"/>
    </xf>
    <xf numFmtId="3" fontId="18" fillId="0" borderId="25" xfId="0" applyNumberFormat="1" applyFont="1" applyBorder="1" applyAlignment="1">
      <alignment horizontal="right"/>
    </xf>
    <xf numFmtId="172" fontId="18" fillId="0" borderId="25" xfId="0" applyNumberFormat="1" applyFont="1" applyBorder="1" applyAlignment="1">
      <alignment horizontal="right"/>
    </xf>
    <xf numFmtId="172" fontId="2" fillId="5" borderId="25" xfId="0" applyNumberFormat="1" applyFont="1" applyFill="1" applyBorder="1" applyAlignment="1">
      <alignment horizontal="right"/>
    </xf>
    <xf numFmtId="3" fontId="18" fillId="0" borderId="22" xfId="0" applyNumberFormat="1" applyFont="1" applyBorder="1" applyAlignment="1">
      <alignment horizontal="right"/>
    </xf>
    <xf numFmtId="3" fontId="2" fillId="5" borderId="22" xfId="0" applyNumberFormat="1" applyFont="1" applyFill="1" applyBorder="1" applyAlignment="1">
      <alignment horizontal="right"/>
    </xf>
    <xf numFmtId="3" fontId="2" fillId="0" borderId="22" xfId="0" applyNumberFormat="1" applyFont="1" applyBorder="1" applyAlignment="1">
      <alignment horizontal="right"/>
    </xf>
    <xf numFmtId="172" fontId="0" fillId="0" borderId="25" xfId="0" applyNumberFormat="1" applyBorder="1" applyAlignment="1">
      <alignment horizontal="right"/>
    </xf>
    <xf numFmtId="172" fontId="2" fillId="5" borderId="22" xfId="0" applyNumberFormat="1" applyFont="1" applyFill="1" applyBorder="1" applyAlignment="1">
      <alignment horizontal="right"/>
    </xf>
    <xf numFmtId="172" fontId="40" fillId="5" borderId="25" xfId="0" applyNumberFormat="1" applyFont="1" applyFill="1" applyBorder="1" applyAlignment="1">
      <alignment horizontal="right"/>
    </xf>
    <xf numFmtId="0" fontId="2" fillId="0" borderId="0" xfId="0" applyFont="1" applyAlignment="1">
      <alignment horizontal="right"/>
    </xf>
    <xf numFmtId="3" fontId="2" fillId="5" borderId="25" xfId="0" applyNumberFormat="1" applyFont="1" applyFill="1" applyBorder="1" applyAlignment="1">
      <alignment horizontal="right"/>
    </xf>
    <xf numFmtId="3" fontId="0" fillId="0" borderId="22" xfId="0" applyNumberFormat="1" applyBorder="1" applyAlignment="1">
      <alignment horizontal="right"/>
    </xf>
    <xf numFmtId="172" fontId="7" fillId="0" borderId="0" xfId="0" applyNumberFormat="1" applyFont="1" applyAlignment="1">
      <alignment horizontal="right"/>
    </xf>
    <xf numFmtId="172" fontId="10" fillId="2" borderId="71" xfId="0" applyNumberFormat="1" applyFont="1" applyFill="1" applyBorder="1" applyAlignment="1">
      <alignment horizontal="right"/>
    </xf>
    <xf numFmtId="172" fontId="2" fillId="0" borderId="26" xfId="0" applyNumberFormat="1" applyFont="1" applyBorder="1" applyAlignment="1">
      <alignment horizontal="right"/>
    </xf>
    <xf numFmtId="3" fontId="0" fillId="0" borderId="0" xfId="0" applyNumberFormat="1" applyAlignment="1">
      <alignment horizontal="right"/>
    </xf>
    <xf numFmtId="172" fontId="3" fillId="0" borderId="25" xfId="0" applyNumberFormat="1" applyFont="1" applyBorder="1"/>
    <xf numFmtId="172" fontId="3" fillId="0" borderId="99" xfId="0" applyNumberFormat="1" applyFont="1" applyBorder="1"/>
    <xf numFmtId="172" fontId="18" fillId="0" borderId="75" xfId="0" applyNumberFormat="1" applyFont="1" applyBorder="1"/>
    <xf numFmtId="172" fontId="3" fillId="0" borderId="22" xfId="0" applyNumberFormat="1" applyFont="1" applyBorder="1"/>
    <xf numFmtId="172" fontId="3" fillId="0" borderId="75" xfId="0" applyNumberFormat="1" applyFont="1" applyBorder="1"/>
    <xf numFmtId="172" fontId="12" fillId="5" borderId="22" xfId="0" applyNumberFormat="1" applyFont="1" applyFill="1" applyBorder="1"/>
    <xf numFmtId="172" fontId="12" fillId="5" borderId="75" xfId="0" applyNumberFormat="1" applyFont="1" applyFill="1" applyBorder="1"/>
    <xf numFmtId="172" fontId="16" fillId="0" borderId="0" xfId="0" applyNumberFormat="1" applyFont="1"/>
    <xf numFmtId="172" fontId="16" fillId="0" borderId="92" xfId="0" applyNumberFormat="1" applyFont="1" applyBorder="1"/>
    <xf numFmtId="172" fontId="3" fillId="0" borderId="25" xfId="4" applyNumberFormat="1" applyFont="1" applyFill="1" applyBorder="1" applyAlignment="1" applyProtection="1"/>
    <xf numFmtId="172" fontId="3" fillId="0" borderId="99" xfId="4" applyNumberFormat="1" applyFont="1" applyFill="1" applyBorder="1" applyAlignment="1" applyProtection="1"/>
    <xf numFmtId="172" fontId="3" fillId="0" borderId="22" xfId="4" applyNumberFormat="1" applyFont="1" applyFill="1" applyBorder="1" applyAlignment="1" applyProtection="1"/>
    <xf numFmtId="172" fontId="3" fillId="0" borderId="75" xfId="4" applyNumberFormat="1" applyFont="1" applyFill="1" applyBorder="1" applyAlignment="1" applyProtection="1"/>
    <xf numFmtId="172" fontId="12" fillId="0" borderId="95" xfId="0" applyNumberFormat="1" applyFont="1" applyBorder="1"/>
    <xf numFmtId="172" fontId="12" fillId="0" borderId="117" xfId="0" applyNumberFormat="1" applyFont="1" applyBorder="1"/>
    <xf numFmtId="172" fontId="12" fillId="5" borderId="51" xfId="0" applyNumberFormat="1" applyFont="1" applyFill="1" applyBorder="1"/>
    <xf numFmtId="172" fontId="12" fillId="5" borderId="101" xfId="0" applyNumberFormat="1" applyFont="1" applyFill="1" applyBorder="1"/>
    <xf numFmtId="3" fontId="2" fillId="0" borderId="14" xfId="0" applyNumberFormat="1" applyFont="1" applyBorder="1"/>
    <xf numFmtId="0" fontId="10" fillId="2" borderId="22" xfId="0" applyFont="1" applyFill="1" applyBorder="1"/>
    <xf numFmtId="0" fontId="11" fillId="0" borderId="27" xfId="0" applyFont="1" applyBorder="1" applyAlignment="1">
      <alignment wrapText="1"/>
    </xf>
    <xf numFmtId="0" fontId="11" fillId="0" borderId="24" xfId="0" applyFont="1" applyBorder="1"/>
    <xf numFmtId="0" fontId="11" fillId="0" borderId="19" xfId="0" applyFont="1" applyBorder="1" applyAlignment="1">
      <alignment wrapText="1"/>
    </xf>
    <xf numFmtId="3" fontId="10" fillId="0" borderId="23" xfId="0" applyNumberFormat="1" applyFont="1" applyBorder="1"/>
    <xf numFmtId="0" fontId="11" fillId="0" borderId="22" xfId="0" applyFont="1" applyBorder="1" applyAlignment="1">
      <alignment wrapText="1"/>
    </xf>
    <xf numFmtId="3" fontId="10" fillId="0" borderId="13" xfId="0" applyNumberFormat="1" applyFont="1" applyBorder="1"/>
    <xf numFmtId="0" fontId="11" fillId="0" borderId="108" xfId="0" applyFont="1" applyBorder="1"/>
    <xf numFmtId="0" fontId="11" fillId="0" borderId="118" xfId="0" applyFont="1" applyBorder="1" applyAlignment="1">
      <alignment wrapText="1"/>
    </xf>
    <xf numFmtId="3" fontId="10" fillId="0" borderId="17" xfId="0" applyNumberFormat="1" applyFont="1" applyBorder="1"/>
    <xf numFmtId="3" fontId="9" fillId="0" borderId="23" xfId="0" quotePrefix="1" applyNumberFormat="1" applyFont="1" applyBorder="1" applyProtection="1">
      <protection locked="0"/>
    </xf>
    <xf numFmtId="0" fontId="18" fillId="0" borderId="5" xfId="0" applyFont="1" applyBorder="1"/>
    <xf numFmtId="3" fontId="9" fillId="0" borderId="111" xfId="0" applyNumberFormat="1" applyFont="1" applyBorder="1" applyProtection="1">
      <protection locked="0"/>
    </xf>
    <xf numFmtId="3" fontId="10" fillId="0" borderId="119" xfId="0" applyNumberFormat="1" applyFont="1" applyBorder="1"/>
    <xf numFmtId="3" fontId="2" fillId="0" borderId="120" xfId="0" applyNumberFormat="1" applyFont="1" applyBorder="1"/>
    <xf numFmtId="3" fontId="40" fillId="5" borderId="121" xfId="0" applyNumberFormat="1" applyFont="1" applyFill="1" applyBorder="1"/>
    <xf numFmtId="3" fontId="2" fillId="0" borderId="122" xfId="0" applyNumberFormat="1" applyFont="1" applyBorder="1"/>
    <xf numFmtId="0" fontId="66" fillId="0" borderId="0" xfId="0" applyFont="1"/>
    <xf numFmtId="0" fontId="70" fillId="0" borderId="0" xfId="0" applyFont="1"/>
    <xf numFmtId="3" fontId="2" fillId="0" borderId="0" xfId="0" applyNumberFormat="1" applyFont="1" applyAlignment="1">
      <alignment horizontal="center"/>
    </xf>
    <xf numFmtId="0" fontId="18" fillId="0" borderId="123" xfId="0" applyFont="1" applyBorder="1"/>
    <xf numFmtId="0" fontId="2" fillId="2" borderId="124" xfId="0" applyFont="1" applyFill="1" applyBorder="1" applyAlignment="1">
      <alignment horizontal="center" wrapText="1"/>
    </xf>
    <xf numFmtId="0" fontId="2" fillId="2" borderId="125" xfId="0" applyFont="1" applyFill="1" applyBorder="1" applyAlignment="1">
      <alignment horizontal="center" wrapText="1"/>
    </xf>
    <xf numFmtId="3" fontId="2" fillId="2" borderId="126" xfId="0" applyNumberFormat="1" applyFont="1" applyFill="1" applyBorder="1" applyAlignment="1">
      <alignment horizontal="center" wrapText="1"/>
    </xf>
    <xf numFmtId="3" fontId="18" fillId="0" borderId="93" xfId="0" applyNumberFormat="1" applyFont="1" applyBorder="1" applyProtection="1">
      <protection locked="0"/>
    </xf>
    <xf numFmtId="3" fontId="2" fillId="0" borderId="127" xfId="0" applyNumberFormat="1" applyFont="1" applyBorder="1"/>
    <xf numFmtId="3" fontId="2" fillId="0" borderId="93" xfId="0" applyNumberFormat="1" applyFont="1" applyBorder="1" applyProtection="1">
      <protection locked="0"/>
    </xf>
    <xf numFmtId="3" fontId="2" fillId="5" borderId="128" xfId="0" applyNumberFormat="1" applyFont="1" applyFill="1" applyBorder="1"/>
    <xf numFmtId="3" fontId="2" fillId="5" borderId="129" xfId="0" applyNumberFormat="1" applyFont="1" applyFill="1" applyBorder="1"/>
    <xf numFmtId="3" fontId="2" fillId="0" borderId="127" xfId="0" applyNumberFormat="1" applyFont="1" applyBorder="1" applyProtection="1">
      <protection locked="0"/>
    </xf>
    <xf numFmtId="3" fontId="2" fillId="0" borderId="60" xfId="0" applyNumberFormat="1" applyFont="1" applyBorder="1"/>
    <xf numFmtId="0" fontId="9" fillId="0" borderId="84" xfId="0" applyFont="1" applyBorder="1"/>
    <xf numFmtId="3" fontId="9" fillId="0" borderId="130" xfId="0" applyNumberFormat="1" applyFont="1" applyBorder="1" applyProtection="1">
      <protection locked="0"/>
    </xf>
    <xf numFmtId="3" fontId="9" fillId="0" borderId="91" xfId="0" applyNumberFormat="1" applyFont="1" applyBorder="1" applyProtection="1">
      <protection locked="0"/>
    </xf>
    <xf numFmtId="3" fontId="2" fillId="0" borderId="24" xfId="0" applyNumberFormat="1" applyFont="1" applyBorder="1" applyAlignment="1">
      <alignment horizontal="center"/>
    </xf>
    <xf numFmtId="3" fontId="2" fillId="0" borderId="28" xfId="0" applyNumberFormat="1" applyFont="1" applyBorder="1"/>
    <xf numFmtId="3" fontId="2" fillId="2" borderId="90" xfId="0" applyNumberFormat="1" applyFont="1" applyFill="1" applyBorder="1" applyAlignment="1">
      <alignment horizontal="center"/>
    </xf>
    <xf numFmtId="3" fontId="2" fillId="2" borderId="125" xfId="0" applyNumberFormat="1" applyFont="1" applyFill="1" applyBorder="1" applyAlignment="1">
      <alignment horizontal="center"/>
    </xf>
    <xf numFmtId="3" fontId="2" fillId="2" borderId="131" xfId="0" applyNumberFormat="1" applyFont="1" applyFill="1" applyBorder="1" applyAlignment="1">
      <alignment horizontal="center"/>
    </xf>
    <xf numFmtId="3" fontId="2" fillId="2" borderId="126" xfId="0" applyNumberFormat="1" applyFont="1" applyFill="1" applyBorder="1"/>
    <xf numFmtId="3" fontId="2" fillId="0" borderId="36" xfId="0" applyNumberFormat="1" applyFont="1" applyBorder="1"/>
    <xf numFmtId="3" fontId="22" fillId="5" borderId="68" xfId="0" applyNumberFormat="1" applyFont="1" applyFill="1" applyBorder="1"/>
    <xf numFmtId="0" fontId="18" fillId="0" borderId="22" xfId="0" applyFont="1" applyBorder="1" applyAlignment="1">
      <alignment wrapText="1"/>
    </xf>
    <xf numFmtId="172" fontId="0" fillId="0" borderId="22" xfId="0" applyNumberFormat="1" applyBorder="1"/>
    <xf numFmtId="0" fontId="18" fillId="0" borderId="82" xfId="0" applyFont="1" applyBorder="1"/>
    <xf numFmtId="3" fontId="22" fillId="5" borderId="24" xfId="0" applyNumberFormat="1" applyFont="1" applyFill="1" applyBorder="1"/>
    <xf numFmtId="3" fontId="22" fillId="5" borderId="70" xfId="0" applyNumberFormat="1" applyFont="1" applyFill="1" applyBorder="1"/>
    <xf numFmtId="172" fontId="3" fillId="5" borderId="35" xfId="0" applyNumberFormat="1" applyFont="1" applyFill="1" applyBorder="1"/>
    <xf numFmtId="172" fontId="18" fillId="0" borderId="13" xfId="3" applyNumberFormat="1" applyFont="1" applyBorder="1"/>
    <xf numFmtId="3" fontId="22" fillId="5" borderId="67" xfId="0" applyNumberFormat="1" applyFont="1" applyFill="1" applyBorder="1"/>
    <xf numFmtId="172" fontId="3" fillId="5" borderId="132" xfId="3" applyNumberFormat="1" applyFont="1" applyFill="1" applyBorder="1"/>
    <xf numFmtId="172" fontId="3" fillId="5" borderId="132" xfId="0" applyNumberFormat="1" applyFont="1" applyFill="1" applyBorder="1"/>
    <xf numFmtId="172" fontId="3" fillId="5" borderId="44" xfId="0" applyNumberFormat="1" applyFont="1" applyFill="1" applyBorder="1"/>
    <xf numFmtId="172" fontId="3" fillId="5" borderId="68" xfId="0" applyNumberFormat="1" applyFont="1" applyFill="1" applyBorder="1"/>
    <xf numFmtId="172" fontId="18" fillId="0" borderId="22" xfId="3" applyNumberFormat="1" applyFont="1" applyBorder="1" applyAlignment="1">
      <alignment horizontal="right"/>
    </xf>
    <xf numFmtId="3" fontId="18" fillId="0" borderId="22" xfId="3" applyNumberFormat="1" applyFont="1" applyBorder="1" applyAlignment="1">
      <alignment horizontal="right"/>
    </xf>
    <xf numFmtId="172" fontId="18" fillId="0" borderId="26" xfId="3" applyNumberFormat="1" applyFont="1" applyBorder="1" applyAlignment="1">
      <alignment horizontal="right"/>
    </xf>
    <xf numFmtId="0" fontId="18" fillId="0" borderId="14" xfId="0" applyFont="1" applyBorder="1" applyAlignment="1">
      <alignment wrapText="1"/>
    </xf>
    <xf numFmtId="3" fontId="35" fillId="0" borderId="0" xfId="0" applyNumberFormat="1" applyFont="1" applyProtection="1">
      <protection locked="0"/>
    </xf>
    <xf numFmtId="3" fontId="9" fillId="0" borderId="111" xfId="0" applyNumberFormat="1" applyFont="1" applyBorder="1"/>
    <xf numFmtId="3" fontId="40" fillId="5" borderId="101" xfId="0" applyNumberFormat="1" applyFont="1" applyFill="1" applyBorder="1"/>
    <xf numFmtId="0" fontId="10" fillId="2" borderId="11" xfId="0" applyFont="1" applyFill="1" applyBorder="1" applyAlignment="1">
      <alignment horizontal="center"/>
    </xf>
    <xf numFmtId="3" fontId="9" fillId="0" borderId="110" xfId="0" quotePrefix="1" applyNumberFormat="1" applyFont="1" applyBorder="1" applyProtection="1">
      <protection locked="0"/>
    </xf>
    <xf numFmtId="3" fontId="10" fillId="0" borderId="133" xfId="0" applyNumberFormat="1" applyFont="1" applyBorder="1"/>
    <xf numFmtId="3" fontId="2" fillId="0" borderId="134" xfId="0" applyNumberFormat="1" applyFont="1" applyBorder="1"/>
    <xf numFmtId="3" fontId="40" fillId="5" borderId="109" xfId="0" applyNumberFormat="1" applyFont="1" applyFill="1" applyBorder="1"/>
    <xf numFmtId="0" fontId="75" fillId="0" borderId="28" xfId="0" applyFont="1" applyBorder="1"/>
    <xf numFmtId="0" fontId="66" fillId="0" borderId="25" xfId="0" applyFont="1" applyBorder="1"/>
    <xf numFmtId="3" fontId="66" fillId="0" borderId="25" xfId="0" applyNumberFormat="1" applyFont="1" applyBorder="1"/>
    <xf numFmtId="10" fontId="76" fillId="0" borderId="27" xfId="5" applyNumberFormat="1" applyFont="1" applyFill="1" applyBorder="1" applyAlignment="1" applyProtection="1">
      <alignment horizontal="right"/>
    </xf>
    <xf numFmtId="0" fontId="66" fillId="0" borderId="22" xfId="0" applyFont="1" applyBorder="1"/>
    <xf numFmtId="3" fontId="66" fillId="0" borderId="0" xfId="0" quotePrefix="1" applyNumberFormat="1" applyFont="1"/>
    <xf numFmtId="10" fontId="76" fillId="0" borderId="16" xfId="5" applyNumberFormat="1" applyFont="1" applyFill="1" applyBorder="1" applyAlignment="1" applyProtection="1">
      <alignment horizontal="right"/>
    </xf>
    <xf numFmtId="0" fontId="75" fillId="5" borderId="14" xfId="0" applyFont="1" applyFill="1" applyBorder="1"/>
    <xf numFmtId="3" fontId="74" fillId="5" borderId="22" xfId="0" applyNumberFormat="1" applyFont="1" applyFill="1" applyBorder="1"/>
    <xf numFmtId="10" fontId="69" fillId="5" borderId="19" xfId="5" applyNumberFormat="1" applyFont="1" applyFill="1" applyBorder="1" applyAlignment="1" applyProtection="1">
      <alignment horizontal="right"/>
    </xf>
    <xf numFmtId="3" fontId="2" fillId="0" borderId="33" xfId="0" applyNumberFormat="1" applyFont="1" applyBorder="1"/>
    <xf numFmtId="3" fontId="2" fillId="0" borderId="78" xfId="0" applyNumberFormat="1" applyFont="1" applyBorder="1"/>
    <xf numFmtId="0" fontId="10" fillId="2" borderId="33" xfId="0" applyFont="1" applyFill="1" applyBorder="1" applyAlignment="1">
      <alignment horizontal="center" wrapText="1"/>
    </xf>
    <xf numFmtId="0" fontId="18" fillId="0" borderId="16" xfId="0" applyFont="1" applyBorder="1"/>
    <xf numFmtId="3" fontId="65" fillId="0" borderId="0" xfId="0" quotePrefix="1" applyNumberFormat="1" applyFont="1"/>
    <xf numFmtId="3" fontId="0" fillId="0" borderId="0" xfId="0" quotePrefix="1" applyNumberFormat="1"/>
    <xf numFmtId="3" fontId="65" fillId="0" borderId="0" xfId="0" applyNumberFormat="1" applyFont="1"/>
    <xf numFmtId="4" fontId="65" fillId="0" borderId="0" xfId="0" applyNumberFormat="1" applyFont="1"/>
    <xf numFmtId="3" fontId="3" fillId="5" borderId="15" xfId="0" applyNumberFormat="1" applyFont="1" applyFill="1" applyBorder="1"/>
    <xf numFmtId="172" fontId="40" fillId="5" borderId="22" xfId="0" applyNumberFormat="1" applyFont="1" applyFill="1" applyBorder="1" applyAlignment="1">
      <alignment horizontal="right"/>
    </xf>
    <xf numFmtId="172" fontId="40" fillId="5" borderId="22" xfId="0" applyNumberFormat="1" applyFont="1" applyFill="1" applyBorder="1"/>
    <xf numFmtId="172" fontId="40" fillId="5" borderId="8" xfId="0" applyNumberFormat="1" applyFont="1" applyFill="1" applyBorder="1"/>
    <xf numFmtId="172" fontId="40" fillId="5" borderId="19" xfId="0" applyNumberFormat="1" applyFont="1" applyFill="1" applyBorder="1"/>
    <xf numFmtId="172" fontId="40" fillId="5" borderId="75" xfId="0" applyNumberFormat="1" applyFont="1" applyFill="1" applyBorder="1"/>
    <xf numFmtId="172" fontId="40" fillId="5" borderId="51" xfId="0" applyNumberFormat="1" applyFont="1" applyFill="1" applyBorder="1" applyAlignment="1">
      <alignment horizontal="right"/>
    </xf>
    <xf numFmtId="172" fontId="40" fillId="5" borderId="51" xfId="0" applyNumberFormat="1" applyFont="1" applyFill="1" applyBorder="1"/>
    <xf numFmtId="172" fontId="40" fillId="5" borderId="51" xfId="3" applyNumberFormat="1" applyFont="1" applyFill="1" applyBorder="1"/>
    <xf numFmtId="172" fontId="40" fillId="5" borderId="135" xfId="0" applyNumberFormat="1" applyFont="1" applyFill="1" applyBorder="1"/>
    <xf numFmtId="172" fontId="40" fillId="5" borderId="101" xfId="0" applyNumberFormat="1" applyFont="1" applyFill="1" applyBorder="1"/>
    <xf numFmtId="172" fontId="40" fillId="5" borderId="107" xfId="0" applyNumberFormat="1" applyFont="1" applyFill="1" applyBorder="1" applyAlignment="1">
      <alignment horizontal="right"/>
    </xf>
    <xf numFmtId="172" fontId="40" fillId="5" borderId="0" xfId="0" applyNumberFormat="1" applyFont="1" applyFill="1"/>
    <xf numFmtId="172" fontId="40" fillId="5" borderId="106" xfId="0" applyNumberFormat="1" applyFont="1" applyFill="1" applyBorder="1"/>
    <xf numFmtId="172" fontId="40" fillId="0" borderId="4" xfId="0" applyNumberFormat="1" applyFont="1" applyBorder="1" applyAlignment="1">
      <alignment horizontal="right"/>
    </xf>
    <xf numFmtId="172" fontId="40" fillId="0" borderId="4" xfId="0" applyNumberFormat="1" applyFont="1" applyBorder="1"/>
    <xf numFmtId="172" fontId="40" fillId="0" borderId="11" xfId="0" applyNumberFormat="1" applyFont="1" applyBorder="1"/>
    <xf numFmtId="172" fontId="40" fillId="0" borderId="2" xfId="0" applyNumberFormat="1" applyFont="1" applyBorder="1" applyAlignment="1">
      <alignment horizontal="right"/>
    </xf>
    <xf numFmtId="172" fontId="40" fillId="0" borderId="2" xfId="0" applyNumberFormat="1" applyFont="1" applyBorder="1"/>
    <xf numFmtId="172" fontId="40" fillId="0" borderId="8" xfId="0" applyNumberFormat="1" applyFont="1" applyBorder="1"/>
    <xf numFmtId="172" fontId="40" fillId="0" borderId="17" xfId="0" applyNumberFormat="1" applyFont="1" applyBorder="1" applyAlignment="1">
      <alignment horizontal="right"/>
    </xf>
    <xf numFmtId="172" fontId="40" fillId="0" borderId="17" xfId="0" applyNumberFormat="1" applyFont="1" applyBorder="1"/>
    <xf numFmtId="172" fontId="40" fillId="0" borderId="18" xfId="0" applyNumberFormat="1" applyFont="1" applyBorder="1"/>
    <xf numFmtId="172" fontId="40" fillId="5" borderId="40" xfId="0" applyNumberFormat="1" applyFont="1" applyFill="1" applyBorder="1"/>
    <xf numFmtId="172" fontId="46" fillId="0" borderId="0" xfId="0" applyNumberFormat="1" applyFont="1" applyAlignment="1">
      <alignment horizontal="right"/>
    </xf>
    <xf numFmtId="172" fontId="46" fillId="0" borderId="16" xfId="0" applyNumberFormat="1" applyFont="1" applyBorder="1"/>
    <xf numFmtId="172" fontId="40" fillId="0" borderId="92" xfId="0" applyNumberFormat="1" applyFont="1" applyBorder="1"/>
    <xf numFmtId="3" fontId="74" fillId="0" borderId="0" xfId="0" applyNumberFormat="1" applyFont="1"/>
    <xf numFmtId="3" fontId="72" fillId="0" borderId="0" xfId="0" applyNumberFormat="1" applyFont="1"/>
    <xf numFmtId="3" fontId="18" fillId="0" borderId="70" xfId="0" applyNumberFormat="1" applyFont="1" applyBorder="1" applyProtection="1">
      <protection locked="0"/>
    </xf>
    <xf numFmtId="3" fontId="18" fillId="0" borderId="14" xfId="0" applyNumberFormat="1" applyFont="1" applyBorder="1" applyProtection="1">
      <protection locked="0"/>
    </xf>
    <xf numFmtId="0" fontId="77" fillId="0" borderId="0" xfId="0" applyFont="1"/>
    <xf numFmtId="3" fontId="77" fillId="0" borderId="0" xfId="0" applyNumberFormat="1" applyFont="1"/>
    <xf numFmtId="0" fontId="69" fillId="0" borderId="0" xfId="0" applyFont="1" applyAlignment="1">
      <alignment horizontal="center" wrapText="1"/>
    </xf>
    <xf numFmtId="3" fontId="22" fillId="0" borderId="22" xfId="0" applyNumberFormat="1" applyFont="1" applyBorder="1"/>
    <xf numFmtId="3" fontId="35" fillId="7" borderId="100" xfId="0" applyNumberFormat="1" applyFont="1" applyFill="1" applyBorder="1" applyProtection="1">
      <protection locked="0"/>
    </xf>
    <xf numFmtId="10" fontId="35" fillId="7" borderId="34" xfId="0" applyNumberFormat="1" applyFont="1" applyFill="1" applyBorder="1" applyProtection="1">
      <protection locked="0"/>
    </xf>
    <xf numFmtId="3" fontId="35" fillId="7" borderId="33" xfId="0" applyNumberFormat="1" applyFont="1" applyFill="1" applyBorder="1" applyProtection="1">
      <protection locked="0"/>
    </xf>
    <xf numFmtId="3" fontId="35" fillId="7" borderId="78" xfId="0" applyNumberFormat="1" applyFont="1" applyFill="1" applyBorder="1" applyProtection="1">
      <protection locked="0"/>
    </xf>
    <xf numFmtId="10" fontId="35" fillId="7" borderId="79" xfId="0" applyNumberFormat="1" applyFont="1" applyFill="1" applyBorder="1" applyProtection="1">
      <protection locked="0"/>
    </xf>
    <xf numFmtId="10" fontId="35" fillId="7" borderId="80" xfId="0" applyNumberFormat="1" applyFont="1" applyFill="1" applyBorder="1" applyProtection="1">
      <protection locked="0"/>
    </xf>
    <xf numFmtId="3" fontId="2" fillId="0" borderId="136" xfId="0" applyNumberFormat="1" applyFont="1" applyBorder="1"/>
    <xf numFmtId="10" fontId="2" fillId="5" borderId="22" xfId="0" applyNumberFormat="1" applyFont="1" applyFill="1" applyBorder="1" applyProtection="1">
      <protection locked="0"/>
    </xf>
    <xf numFmtId="0" fontId="2" fillId="2" borderId="0" xfId="0" applyFont="1" applyFill="1" applyAlignment="1">
      <alignment horizontal="center"/>
    </xf>
    <xf numFmtId="0" fontId="1" fillId="0" borderId="0" xfId="0" applyFont="1"/>
    <xf numFmtId="3" fontId="35" fillId="7" borderId="137" xfId="0" applyNumberFormat="1" applyFont="1" applyFill="1" applyBorder="1" applyProtection="1">
      <protection locked="0"/>
    </xf>
    <xf numFmtId="3" fontId="35" fillId="7" borderId="138" xfId="0" applyNumberFormat="1" applyFont="1" applyFill="1" applyBorder="1" applyProtection="1">
      <protection locked="0"/>
    </xf>
    <xf numFmtId="9" fontId="3" fillId="0" borderId="0" xfId="0" applyNumberFormat="1" applyFont="1"/>
    <xf numFmtId="3" fontId="9" fillId="0" borderId="19" xfId="0" quotePrefix="1" applyNumberFormat="1" applyFont="1" applyBorder="1"/>
    <xf numFmtId="181" fontId="35" fillId="7" borderId="35" xfId="0" applyNumberFormat="1" applyFont="1" applyFill="1" applyBorder="1" applyProtection="1">
      <protection locked="0"/>
    </xf>
    <xf numFmtId="3" fontId="2" fillId="2" borderId="2" xfId="0" applyNumberFormat="1" applyFont="1" applyFill="1" applyBorder="1"/>
    <xf numFmtId="3" fontId="0" fillId="2" borderId="2" xfId="0" applyNumberFormat="1" applyFill="1" applyBorder="1"/>
    <xf numFmtId="0" fontId="2" fillId="2" borderId="19" xfId="0" applyFont="1" applyFill="1" applyBorder="1" applyAlignment="1">
      <alignment wrapText="1"/>
    </xf>
    <xf numFmtId="0" fontId="0" fillId="0" borderId="14" xfId="0" applyBorder="1"/>
    <xf numFmtId="14" fontId="0" fillId="0" borderId="19" xfId="0" applyNumberFormat="1" applyBorder="1"/>
    <xf numFmtId="180" fontId="0" fillId="0" borderId="19" xfId="0" applyNumberFormat="1" applyBorder="1"/>
    <xf numFmtId="0" fontId="2" fillId="2" borderId="14" xfId="0" applyFont="1" applyFill="1" applyBorder="1" applyAlignment="1">
      <alignment wrapText="1"/>
    </xf>
    <xf numFmtId="180" fontId="0" fillId="0" borderId="22" xfId="0" applyNumberFormat="1" applyBorder="1"/>
    <xf numFmtId="170" fontId="0" fillId="0" borderId="19" xfId="0" applyNumberFormat="1" applyBorder="1"/>
    <xf numFmtId="0" fontId="2" fillId="2" borderId="19" xfId="0" applyFont="1" applyFill="1" applyBorder="1"/>
    <xf numFmtId="0" fontId="2" fillId="2" borderId="139" xfId="0" applyFont="1" applyFill="1" applyBorder="1" applyAlignment="1">
      <alignment wrapText="1"/>
    </xf>
    <xf numFmtId="0" fontId="0" fillId="0" borderId="140" xfId="0" applyBorder="1"/>
    <xf numFmtId="3" fontId="0" fillId="0" borderId="140" xfId="0" applyNumberFormat="1" applyBorder="1"/>
    <xf numFmtId="3" fontId="2" fillId="2" borderId="140" xfId="0" applyNumberFormat="1" applyFont="1" applyFill="1" applyBorder="1"/>
    <xf numFmtId="3" fontId="0" fillId="0" borderId="141" xfId="0" applyNumberFormat="1" applyBorder="1"/>
    <xf numFmtId="17" fontId="0" fillId="0" borderId="2" xfId="0" applyNumberFormat="1" applyBorder="1"/>
    <xf numFmtId="17" fontId="0" fillId="2" borderId="2" xfId="0" applyNumberFormat="1" applyFill="1" applyBorder="1"/>
    <xf numFmtId="3" fontId="18" fillId="2" borderId="2" xfId="0" applyNumberFormat="1" applyFont="1" applyFill="1" applyBorder="1"/>
    <xf numFmtId="0" fontId="56" fillId="2" borderId="2" xfId="0" applyFont="1" applyFill="1" applyBorder="1" applyAlignment="1">
      <alignment horizontal="center" vertical="center" wrapText="1"/>
    </xf>
    <xf numFmtId="3" fontId="0" fillId="2" borderId="140" xfId="0" applyNumberFormat="1" applyFill="1" applyBorder="1"/>
    <xf numFmtId="3" fontId="18" fillId="0" borderId="140" xfId="0" applyNumberFormat="1" applyFont="1" applyBorder="1"/>
    <xf numFmtId="3" fontId="18" fillId="0" borderId="142" xfId="0" applyNumberFormat="1" applyFont="1" applyBorder="1"/>
    <xf numFmtId="0" fontId="2" fillId="2" borderId="22" xfId="0" applyFont="1" applyFill="1" applyBorder="1" applyAlignment="1">
      <alignment wrapText="1"/>
    </xf>
    <xf numFmtId="180" fontId="0" fillId="0" borderId="2" xfId="0" applyNumberFormat="1" applyBorder="1" applyAlignment="1">
      <alignment horizontal="right"/>
    </xf>
    <xf numFmtId="180" fontId="0" fillId="0" borderId="2" xfId="0" applyNumberFormat="1" applyBorder="1"/>
    <xf numFmtId="3" fontId="18" fillId="0" borderId="143" xfId="0" applyNumberFormat="1" applyFont="1" applyBorder="1"/>
    <xf numFmtId="180" fontId="0" fillId="0" borderId="19" xfId="0" applyNumberFormat="1" applyBorder="1" applyAlignment="1">
      <alignment horizontal="right"/>
    </xf>
    <xf numFmtId="1" fontId="18" fillId="0" borderId="19" xfId="0" applyNumberFormat="1" applyFont="1" applyBorder="1"/>
    <xf numFmtId="0" fontId="0" fillId="0" borderId="139" xfId="0" applyBorder="1"/>
    <xf numFmtId="14" fontId="0" fillId="0" borderId="14" xfId="0" applyNumberFormat="1" applyBorder="1"/>
    <xf numFmtId="14" fontId="0" fillId="0" borderId="140" xfId="0" applyNumberFormat="1" applyBorder="1"/>
    <xf numFmtId="3" fontId="0" fillId="0" borderId="143" xfId="0" applyNumberFormat="1" applyBorder="1"/>
    <xf numFmtId="17" fontId="2" fillId="2" borderId="2" xfId="0" applyNumberFormat="1" applyFont="1" applyFill="1" applyBorder="1" applyAlignment="1">
      <alignment horizontal="center"/>
    </xf>
    <xf numFmtId="3" fontId="0" fillId="0" borderId="139" xfId="0" applyNumberFormat="1" applyBorder="1"/>
    <xf numFmtId="3" fontId="0" fillId="2" borderId="143" xfId="0" applyNumberFormat="1" applyFill="1" applyBorder="1"/>
    <xf numFmtId="17" fontId="2" fillId="2" borderId="2" xfId="0" applyNumberFormat="1" applyFont="1" applyFill="1" applyBorder="1"/>
    <xf numFmtId="0" fontId="0" fillId="2" borderId="2" xfId="0" applyFill="1" applyBorder="1"/>
    <xf numFmtId="3" fontId="28" fillId="0" borderId="23" xfId="0" applyNumberFormat="1" applyFont="1" applyBorder="1"/>
    <xf numFmtId="3" fontId="28" fillId="0" borderId="13" xfId="0" applyNumberFormat="1" applyFont="1" applyBorder="1"/>
    <xf numFmtId="3" fontId="35" fillId="0" borderId="24" xfId="0" applyNumberFormat="1" applyFont="1" applyBorder="1"/>
    <xf numFmtId="3" fontId="28" fillId="0" borderId="107" xfId="0" applyNumberFormat="1" applyFont="1" applyBorder="1"/>
    <xf numFmtId="3" fontId="35" fillId="0" borderId="2" xfId="0" applyNumberFormat="1" applyFont="1" applyBorder="1"/>
    <xf numFmtId="178" fontId="35" fillId="7" borderId="127" xfId="0" applyNumberFormat="1" applyFont="1" applyFill="1" applyBorder="1" applyAlignment="1" applyProtection="1">
      <alignment horizontal="center"/>
      <protection locked="0"/>
    </xf>
    <xf numFmtId="0" fontId="10" fillId="2" borderId="36" xfId="0" applyFont="1" applyFill="1" applyBorder="1" applyAlignment="1">
      <alignment horizontal="center" wrapText="1"/>
    </xf>
    <xf numFmtId="3" fontId="10" fillId="2" borderId="144" xfId="0" applyNumberFormat="1" applyFont="1" applyFill="1" applyBorder="1" applyAlignment="1">
      <alignment horizontal="center" wrapText="1"/>
    </xf>
    <xf numFmtId="0" fontId="18" fillId="0" borderId="122" xfId="0" applyFont="1" applyBorder="1"/>
    <xf numFmtId="49" fontId="18" fillId="0" borderId="28" xfId="0" applyNumberFormat="1" applyFont="1" applyBorder="1" applyProtection="1">
      <protection locked="0"/>
    </xf>
    <xf numFmtId="49" fontId="18" fillId="0" borderId="24" xfId="0" applyNumberFormat="1" applyFont="1" applyBorder="1" applyProtection="1">
      <protection locked="0"/>
    </xf>
    <xf numFmtId="49" fontId="2" fillId="0" borderId="24" xfId="0" applyNumberFormat="1" applyFont="1" applyBorder="1"/>
    <xf numFmtId="4" fontId="18" fillId="0" borderId="16" xfId="0" applyNumberFormat="1" applyFont="1" applyBorder="1" applyProtection="1">
      <protection locked="0"/>
    </xf>
    <xf numFmtId="173" fontId="2" fillId="0" borderId="16" xfId="0" applyNumberFormat="1" applyFont="1" applyBorder="1"/>
    <xf numFmtId="49" fontId="18" fillId="0" borderId="5" xfId="0" applyNumberFormat="1" applyFont="1" applyBorder="1" applyProtection="1">
      <protection locked="0"/>
    </xf>
    <xf numFmtId="10" fontId="18" fillId="0" borderId="16" xfId="0" applyNumberFormat="1" applyFont="1" applyBorder="1" applyProtection="1">
      <protection locked="0"/>
    </xf>
    <xf numFmtId="49" fontId="2" fillId="0" borderId="5" xfId="0" applyNumberFormat="1" applyFont="1" applyBorder="1"/>
    <xf numFmtId="0" fontId="2" fillId="0" borderId="16" xfId="0" applyFont="1" applyBorder="1" applyProtection="1">
      <protection locked="0"/>
    </xf>
    <xf numFmtId="0" fontId="18" fillId="0" borderId="27" xfId="0" applyFont="1" applyBorder="1" applyProtection="1">
      <protection locked="0"/>
    </xf>
    <xf numFmtId="0" fontId="2" fillId="2" borderId="139" xfId="0" applyFont="1" applyFill="1" applyBorder="1"/>
    <xf numFmtId="3" fontId="18" fillId="0" borderId="145" xfId="0" applyNumberFormat="1" applyFont="1" applyBorder="1"/>
    <xf numFmtId="0" fontId="2" fillId="0" borderId="145" xfId="0" applyFont="1" applyBorder="1"/>
    <xf numFmtId="0" fontId="18" fillId="0" borderId="141" xfId="0" applyFont="1" applyBorder="1"/>
    <xf numFmtId="0" fontId="2" fillId="5" borderId="143" xfId="0" applyFont="1" applyFill="1" applyBorder="1"/>
    <xf numFmtId="3" fontId="28" fillId="5" borderId="35" xfId="0" applyNumberFormat="1" applyFont="1" applyFill="1" applyBorder="1"/>
    <xf numFmtId="3" fontId="35" fillId="0" borderId="25" xfId="0" applyNumberFormat="1" applyFont="1" applyBorder="1"/>
    <xf numFmtId="0" fontId="10" fillId="3" borderId="2" xfId="0" applyFont="1" applyFill="1" applyBorder="1" applyAlignment="1">
      <alignment horizontal="center" wrapText="1"/>
    </xf>
    <xf numFmtId="3" fontId="66" fillId="0" borderId="0" xfId="0" applyNumberFormat="1" applyFont="1"/>
    <xf numFmtId="0" fontId="10" fillId="0" borderId="0" xfId="0" applyFont="1" applyProtection="1">
      <protection locked="0"/>
    </xf>
    <xf numFmtId="3" fontId="10" fillId="0" borderId="0" xfId="0" applyNumberFormat="1" applyFont="1" applyProtection="1">
      <protection locked="0"/>
    </xf>
    <xf numFmtId="10" fontId="10" fillId="0" borderId="16" xfId="5" applyNumberFormat="1" applyFont="1" applyFill="1" applyBorder="1" applyAlignment="1" applyProtection="1">
      <alignment horizontal="right"/>
    </xf>
    <xf numFmtId="0" fontId="0" fillId="0" borderId="70" xfId="0" applyBorder="1"/>
    <xf numFmtId="4" fontId="9" fillId="0" borderId="0" xfId="0" applyNumberFormat="1" applyFont="1"/>
    <xf numFmtId="4" fontId="10" fillId="0" borderId="2" xfId="0" applyNumberFormat="1" applyFont="1" applyBorder="1"/>
    <xf numFmtId="3" fontId="78" fillId="11" borderId="0" xfId="0" applyNumberFormat="1" applyFont="1" applyFill="1"/>
    <xf numFmtId="0" fontId="78" fillId="11" borderId="0" xfId="0" applyFont="1" applyFill="1"/>
    <xf numFmtId="10" fontId="25" fillId="0" borderId="136" xfId="0" applyNumberFormat="1" applyFont="1" applyBorder="1"/>
    <xf numFmtId="10" fontId="25" fillId="0" borderId="127" xfId="0" applyNumberFormat="1" applyFont="1" applyBorder="1"/>
    <xf numFmtId="10" fontId="28" fillId="5" borderId="7" xfId="0" applyNumberFormat="1" applyFont="1" applyFill="1" applyBorder="1"/>
    <xf numFmtId="0" fontId="25" fillId="0" borderId="7" xfId="0" applyFont="1" applyBorder="1"/>
    <xf numFmtId="10" fontId="25" fillId="0" borderId="146" xfId="0" applyNumberFormat="1" applyFont="1" applyBorder="1"/>
    <xf numFmtId="10" fontId="25" fillId="0" borderId="7" xfId="0" applyNumberFormat="1" applyFont="1" applyBorder="1"/>
    <xf numFmtId="10" fontId="28" fillId="0" borderId="7" xfId="0" applyNumberFormat="1" applyFont="1" applyBorder="1"/>
    <xf numFmtId="10" fontId="28" fillId="5" borderId="12" xfId="0" applyNumberFormat="1" applyFont="1" applyFill="1" applyBorder="1"/>
    <xf numFmtId="0" fontId="23" fillId="0" borderId="7" xfId="0" applyFont="1" applyBorder="1"/>
    <xf numFmtId="10" fontId="28" fillId="0" borderId="27" xfId="0" applyNumberFormat="1" applyFont="1" applyBorder="1"/>
    <xf numFmtId="10" fontId="28" fillId="0" borderId="127" xfId="0" applyNumberFormat="1" applyFont="1" applyBorder="1"/>
    <xf numFmtId="0" fontId="79" fillId="0" borderId="0" xfId="0" applyFont="1"/>
    <xf numFmtId="167" fontId="79" fillId="0" borderId="0" xfId="0" applyNumberFormat="1" applyFont="1" applyAlignment="1">
      <alignment horizontal="left"/>
    </xf>
    <xf numFmtId="166" fontId="79" fillId="0" borderId="0" xfId="0" applyNumberFormat="1" applyFont="1" applyAlignment="1">
      <alignment horizontal="center"/>
    </xf>
    <xf numFmtId="166" fontId="79" fillId="0" borderId="0" xfId="0" applyNumberFormat="1" applyFont="1"/>
    <xf numFmtId="0" fontId="69" fillId="0" borderId="0" xfId="0" applyFont="1"/>
    <xf numFmtId="0" fontId="10" fillId="0" borderId="0" xfId="0" applyFont="1" applyAlignment="1">
      <alignment horizontal="right"/>
    </xf>
    <xf numFmtId="0" fontId="66" fillId="0" borderId="0" xfId="0" quotePrefix="1" applyFont="1" applyAlignment="1">
      <alignment horizontal="left"/>
    </xf>
    <xf numFmtId="0" fontId="80" fillId="0" borderId="25" xfId="0" applyFont="1" applyBorder="1"/>
    <xf numFmtId="3" fontId="81" fillId="0" borderId="25" xfId="0" applyNumberFormat="1" applyFont="1" applyBorder="1"/>
    <xf numFmtId="168" fontId="80" fillId="0" borderId="25" xfId="0" applyNumberFormat="1" applyFont="1" applyBorder="1"/>
    <xf numFmtId="168" fontId="81" fillId="0" borderId="25" xfId="0" applyNumberFormat="1" applyFont="1" applyBorder="1"/>
    <xf numFmtId="3" fontId="80" fillId="0" borderId="0" xfId="0" applyNumberFormat="1" applyFont="1" applyAlignment="1">
      <alignment horizontal="center"/>
    </xf>
    <xf numFmtId="0" fontId="81" fillId="0" borderId="25" xfId="0" applyFont="1" applyBorder="1"/>
    <xf numFmtId="168" fontId="80" fillId="0" borderId="25" xfId="5" applyNumberFormat="1" applyFont="1" applyFill="1" applyBorder="1"/>
    <xf numFmtId="0" fontId="80" fillId="0" borderId="22" xfId="0" applyFont="1" applyBorder="1"/>
    <xf numFmtId="0" fontId="81" fillId="0" borderId="22" xfId="0" applyFont="1" applyBorder="1"/>
    <xf numFmtId="168" fontId="80" fillId="0" borderId="25" xfId="5" quotePrefix="1" applyNumberFormat="1" applyFont="1" applyBorder="1" applyAlignment="1">
      <alignment horizontal="center"/>
    </xf>
    <xf numFmtId="168" fontId="80" fillId="0" borderId="22" xfId="5" applyNumberFormat="1" applyFont="1" applyBorder="1"/>
    <xf numFmtId="168" fontId="80" fillId="0" borderId="22" xfId="0" applyNumberFormat="1" applyFont="1" applyBorder="1"/>
    <xf numFmtId="4" fontId="35" fillId="7" borderId="23" xfId="0" applyNumberFormat="1" applyFont="1" applyFill="1" applyBorder="1" applyProtection="1">
      <protection locked="0"/>
    </xf>
    <xf numFmtId="2" fontId="35" fillId="0" borderId="4" xfId="0" applyNumberFormat="1" applyFont="1" applyBorder="1"/>
    <xf numFmtId="3" fontId="35" fillId="0" borderId="4" xfId="0" applyNumberFormat="1" applyFont="1" applyBorder="1"/>
    <xf numFmtId="3" fontId="47" fillId="0" borderId="84" xfId="0" applyNumberFormat="1" applyFont="1" applyBorder="1"/>
    <xf numFmtId="4" fontId="23" fillId="0" borderId="0" xfId="0" applyNumberFormat="1" applyFont="1"/>
    <xf numFmtId="4" fontId="22" fillId="0" borderId="25" xfId="0" applyNumberFormat="1" applyFont="1" applyBorder="1"/>
    <xf numFmtId="3" fontId="19" fillId="0" borderId="0" xfId="0" applyNumberFormat="1" applyFont="1" applyAlignment="1">
      <alignment horizontal="center"/>
    </xf>
    <xf numFmtId="0" fontId="51" fillId="0" borderId="0" xfId="0" applyFont="1" applyAlignment="1">
      <alignment wrapText="1"/>
    </xf>
    <xf numFmtId="172" fontId="22" fillId="0" borderId="22" xfId="0" applyNumberFormat="1" applyFont="1" applyBorder="1" applyAlignment="1">
      <alignment horizontal="right"/>
    </xf>
    <xf numFmtId="0" fontId="22" fillId="0" borderId="22" xfId="0" applyFont="1" applyBorder="1"/>
    <xf numFmtId="168" fontId="24" fillId="0" borderId="22" xfId="0" applyNumberFormat="1" applyFont="1" applyBorder="1"/>
    <xf numFmtId="168" fontId="24" fillId="0" borderId="22" xfId="0" applyNumberFormat="1" applyFont="1" applyBorder="1" applyAlignment="1">
      <alignment horizontal="center"/>
    </xf>
    <xf numFmtId="168" fontId="22" fillId="0" borderId="22" xfId="0" applyNumberFormat="1" applyFont="1" applyBorder="1" applyAlignment="1">
      <alignment horizontal="center"/>
    </xf>
    <xf numFmtId="168" fontId="22" fillId="0" borderId="0" xfId="0" applyNumberFormat="1" applyFont="1" applyAlignment="1">
      <alignment horizontal="center"/>
    </xf>
    <xf numFmtId="0" fontId="24" fillId="0" borderId="22" xfId="0" applyFont="1" applyBorder="1"/>
    <xf numFmtId="168" fontId="24" fillId="0" borderId="25" xfId="0" applyNumberFormat="1" applyFont="1" applyBorder="1"/>
    <xf numFmtId="168" fontId="24" fillId="0" borderId="0" xfId="0" applyNumberFormat="1" applyFont="1"/>
    <xf numFmtId="168" fontId="22" fillId="0" borderId="25" xfId="0" applyNumberFormat="1" applyFont="1" applyBorder="1" applyAlignment="1">
      <alignment horizontal="center"/>
    </xf>
    <xf numFmtId="168" fontId="24" fillId="0" borderId="0" xfId="0" applyNumberFormat="1" applyFont="1" applyAlignment="1">
      <alignment horizontal="center"/>
    </xf>
    <xf numFmtId="10" fontId="35" fillId="0" borderId="0" xfId="0" applyNumberFormat="1" applyFont="1" applyAlignment="1">
      <alignment horizontal="right"/>
    </xf>
    <xf numFmtId="3" fontId="18" fillId="0" borderId="75" xfId="0" applyNumberFormat="1" applyFont="1" applyBorder="1"/>
    <xf numFmtId="3" fontId="18" fillId="0" borderId="99" xfId="0" applyNumberFormat="1" applyFont="1" applyBorder="1"/>
    <xf numFmtId="172" fontId="18" fillId="0" borderId="92" xfId="0" applyNumberFormat="1" applyFont="1" applyBorder="1"/>
    <xf numFmtId="172" fontId="18" fillId="0" borderId="99" xfId="0" applyNumberFormat="1" applyFont="1" applyBorder="1"/>
    <xf numFmtId="172" fontId="18" fillId="0" borderId="111" xfId="0" applyNumberFormat="1" applyFont="1" applyBorder="1"/>
    <xf numFmtId="10" fontId="25" fillId="0" borderId="25" xfId="0" applyNumberFormat="1" applyFont="1" applyBorder="1"/>
    <xf numFmtId="10" fontId="25" fillId="0" borderId="22" xfId="0" applyNumberFormat="1" applyFont="1" applyBorder="1"/>
    <xf numFmtId="0" fontId="23" fillId="0" borderId="24" xfId="0" applyFont="1" applyBorder="1"/>
    <xf numFmtId="3" fontId="23" fillId="0" borderId="70" xfId="0" applyNumberFormat="1" applyFont="1" applyBorder="1" applyProtection="1">
      <protection locked="0"/>
    </xf>
    <xf numFmtId="3" fontId="23" fillId="0" borderId="14" xfId="0" applyNumberFormat="1" applyFont="1" applyBorder="1" applyProtection="1">
      <protection locked="0"/>
    </xf>
    <xf numFmtId="172" fontId="23" fillId="0" borderId="24" xfId="0" applyNumberFormat="1" applyFont="1" applyBorder="1"/>
    <xf numFmtId="172" fontId="23" fillId="0" borderId="70" xfId="0" applyNumberFormat="1" applyFont="1" applyBorder="1"/>
    <xf numFmtId="0" fontId="2" fillId="0" borderId="2" xfId="0" applyFont="1" applyBorder="1" applyAlignment="1">
      <alignment wrapText="1"/>
    </xf>
    <xf numFmtId="4" fontId="0" fillId="0" borderId="14" xfId="0" applyNumberFormat="1" applyBorder="1"/>
    <xf numFmtId="4" fontId="0" fillId="0" borderId="19" xfId="0" applyNumberFormat="1" applyBorder="1"/>
    <xf numFmtId="4" fontId="0" fillId="0" borderId="139" xfId="0" applyNumberFormat="1" applyBorder="1"/>
    <xf numFmtId="0" fontId="0" fillId="0" borderId="114" xfId="0" applyBorder="1"/>
    <xf numFmtId="4" fontId="0" fillId="9" borderId="0" xfId="0" applyNumberFormat="1" applyFill="1"/>
    <xf numFmtId="0" fontId="93" fillId="0" borderId="0" xfId="0" applyFont="1"/>
    <xf numFmtId="0" fontId="94" fillId="0" borderId="0" xfId="0" applyFont="1" applyAlignment="1">
      <alignment wrapText="1"/>
    </xf>
    <xf numFmtId="0" fontId="94" fillId="0" borderId="0" xfId="0" applyFont="1"/>
    <xf numFmtId="0" fontId="95" fillId="0" borderId="0" xfId="0" applyFont="1"/>
    <xf numFmtId="17" fontId="96" fillId="0" borderId="0" xfId="0" applyNumberFormat="1" applyFont="1"/>
    <xf numFmtId="3" fontId="96" fillId="0" borderId="0" xfId="0" applyNumberFormat="1" applyFont="1"/>
    <xf numFmtId="0" fontId="96" fillId="0" borderId="0" xfId="0" applyFont="1"/>
    <xf numFmtId="0" fontId="33" fillId="0" borderId="0" xfId="0" applyFont="1"/>
    <xf numFmtId="0" fontId="97" fillId="0" borderId="0" xfId="0" applyFont="1" applyAlignment="1">
      <alignment vertical="center"/>
    </xf>
    <xf numFmtId="0" fontId="0" fillId="0" borderId="0" xfId="0" applyAlignment="1">
      <alignment vertical="top"/>
    </xf>
    <xf numFmtId="0" fontId="98" fillId="0" borderId="0" xfId="0" applyFont="1"/>
    <xf numFmtId="0" fontId="99" fillId="0" borderId="0" xfId="0" applyFont="1"/>
    <xf numFmtId="0" fontId="89" fillId="0" borderId="0" xfId="2" applyFont="1" applyAlignment="1" applyProtection="1"/>
    <xf numFmtId="0" fontId="100" fillId="0" borderId="0" xfId="0" applyFont="1"/>
    <xf numFmtId="3" fontId="10" fillId="13" borderId="25" xfId="0" applyNumberFormat="1" applyFont="1" applyFill="1" applyBorder="1" applyProtection="1">
      <protection locked="0"/>
    </xf>
    <xf numFmtId="172" fontId="40" fillId="0" borderId="0" xfId="0" applyNumberFormat="1" applyFont="1" applyAlignment="1">
      <alignment horizontal="right"/>
    </xf>
    <xf numFmtId="172" fontId="40" fillId="0" borderId="0" xfId="0" applyNumberFormat="1" applyFont="1"/>
    <xf numFmtId="0" fontId="2" fillId="0" borderId="144" xfId="0" applyFont="1" applyBorder="1"/>
    <xf numFmtId="172" fontId="40" fillId="0" borderId="23" xfId="0" applyNumberFormat="1" applyFont="1" applyBorder="1" applyAlignment="1">
      <alignment horizontal="right"/>
    </xf>
    <xf numFmtId="172" fontId="40" fillId="0" borderId="23" xfId="0" applyNumberFormat="1" applyFont="1" applyBorder="1"/>
    <xf numFmtId="172" fontId="40" fillId="0" borderId="110" xfId="0" applyNumberFormat="1" applyFont="1" applyBorder="1"/>
    <xf numFmtId="0" fontId="2" fillId="0" borderId="23" xfId="0" applyFont="1" applyBorder="1"/>
    <xf numFmtId="172" fontId="40" fillId="0" borderId="18" xfId="0" applyNumberFormat="1" applyFont="1" applyBorder="1" applyAlignment="1">
      <alignment horizontal="right"/>
    </xf>
    <xf numFmtId="0" fontId="101" fillId="0" borderId="0" xfId="0" applyFont="1"/>
    <xf numFmtId="172" fontId="101" fillId="0" borderId="0" xfId="0" applyNumberFormat="1" applyFont="1"/>
    <xf numFmtId="3" fontId="101" fillId="0" borderId="0" xfId="0" applyNumberFormat="1" applyFont="1"/>
    <xf numFmtId="1" fontId="101" fillId="0" borderId="0" xfId="0" applyNumberFormat="1" applyFont="1"/>
    <xf numFmtId="172" fontId="102" fillId="0" borderId="0" xfId="0" applyNumberFormat="1" applyFont="1"/>
    <xf numFmtId="0" fontId="10" fillId="0" borderId="22" xfId="0" applyFont="1" applyBorder="1" applyProtection="1">
      <protection locked="0"/>
    </xf>
    <xf numFmtId="173" fontId="0" fillId="0" borderId="7" xfId="0" applyNumberFormat="1" applyBorder="1"/>
    <xf numFmtId="0" fontId="10" fillId="2" borderId="14" xfId="0" applyFont="1" applyFill="1" applyBorder="1" applyAlignment="1">
      <alignment horizontal="center"/>
    </xf>
    <xf numFmtId="0" fontId="10" fillId="2" borderId="19" xfId="0" applyFont="1" applyFill="1" applyBorder="1" applyAlignment="1">
      <alignment horizontal="center"/>
    </xf>
    <xf numFmtId="0" fontId="10" fillId="2" borderId="23" xfId="0" applyFont="1" applyFill="1" applyBorder="1" applyAlignment="1">
      <alignment horizontal="center" wrapText="1"/>
    </xf>
    <xf numFmtId="0" fontId="10" fillId="2" borderId="23" xfId="0" applyFont="1" applyFill="1" applyBorder="1" applyAlignment="1">
      <alignment wrapText="1"/>
    </xf>
    <xf numFmtId="9" fontId="10" fillId="2" borderId="2" xfId="5" applyFont="1" applyFill="1" applyBorder="1" applyAlignment="1" applyProtection="1">
      <alignment horizontal="center" vertical="center" wrapText="1"/>
    </xf>
    <xf numFmtId="0" fontId="13" fillId="0" borderId="0" xfId="0" applyFont="1" applyAlignment="1">
      <alignment horizontal="right"/>
    </xf>
    <xf numFmtId="0" fontId="2" fillId="0" borderId="25" xfId="0" applyFont="1" applyBorder="1" applyAlignment="1">
      <alignment wrapText="1"/>
    </xf>
    <xf numFmtId="0" fontId="41" fillId="0" borderId="0" xfId="0" applyFont="1" applyAlignment="1">
      <alignment horizontal="center"/>
    </xf>
    <xf numFmtId="0" fontId="2" fillId="2" borderId="23" xfId="0" applyFont="1" applyFill="1" applyBorder="1" applyAlignment="1">
      <alignment horizontal="center" wrapText="1"/>
    </xf>
    <xf numFmtId="0" fontId="2" fillId="2" borderId="35" xfId="0" applyFont="1" applyFill="1" applyBorder="1" applyAlignment="1">
      <alignment horizontal="center" wrapText="1"/>
    </xf>
    <xf numFmtId="0" fontId="56" fillId="2" borderId="23" xfId="0" applyFont="1" applyFill="1" applyBorder="1" applyAlignment="1">
      <alignment horizontal="center" vertical="center"/>
    </xf>
    <xf numFmtId="0" fontId="56" fillId="2" borderId="32" xfId="0" applyFont="1" applyFill="1" applyBorder="1" applyAlignment="1">
      <alignment horizontal="center" vertical="center"/>
    </xf>
    <xf numFmtId="0" fontId="56" fillId="2" borderId="100" xfId="0" applyFont="1" applyFill="1" applyBorder="1" applyAlignment="1">
      <alignment horizontal="center" vertical="center"/>
    </xf>
    <xf numFmtId="0" fontId="56" fillId="2" borderId="35" xfId="0" applyFont="1" applyFill="1" applyBorder="1" applyAlignment="1">
      <alignment horizontal="center" vertical="center"/>
    </xf>
    <xf numFmtId="0" fontId="56" fillId="2" borderId="31" xfId="0" applyFont="1" applyFill="1" applyBorder="1" applyAlignment="1">
      <alignment horizontal="center" vertical="center"/>
    </xf>
    <xf numFmtId="0" fontId="71" fillId="11" borderId="0" xfId="0" applyFont="1" applyFill="1"/>
    <xf numFmtId="3" fontId="66" fillId="0" borderId="1" xfId="0" applyNumberFormat="1" applyFont="1" applyBorder="1"/>
    <xf numFmtId="0" fontId="66" fillId="0" borderId="1" xfId="0" applyFont="1" applyBorder="1"/>
    <xf numFmtId="14" fontId="66" fillId="0" borderId="147" xfId="0" applyNumberFormat="1" applyFont="1" applyBorder="1"/>
    <xf numFmtId="0" fontId="66" fillId="0" borderId="147" xfId="0" applyFont="1" applyBorder="1"/>
    <xf numFmtId="3" fontId="9" fillId="0" borderId="34" xfId="0" applyNumberFormat="1" applyFont="1" applyBorder="1"/>
    <xf numFmtId="14" fontId="65" fillId="0" borderId="0" xfId="0" applyNumberFormat="1" applyFont="1"/>
    <xf numFmtId="3" fontId="9" fillId="0" borderId="80" xfId="0" applyNumberFormat="1" applyFont="1" applyBorder="1"/>
    <xf numFmtId="3" fontId="65" fillId="0" borderId="0" xfId="5" applyNumberFormat="1" applyFont="1" applyFill="1" applyBorder="1" applyAlignment="1" applyProtection="1">
      <alignment horizontal="right"/>
    </xf>
    <xf numFmtId="0" fontId="30" fillId="0" borderId="0" xfId="0" quotePrefix="1" applyFont="1"/>
    <xf numFmtId="0" fontId="29" fillId="0" borderId="0" xfId="0" applyFont="1"/>
    <xf numFmtId="3" fontId="19" fillId="5" borderId="14" xfId="0" applyNumberFormat="1" applyFont="1" applyFill="1" applyBorder="1"/>
    <xf numFmtId="10" fontId="28" fillId="5" borderId="19" xfId="5" applyNumberFormat="1" applyFont="1" applyFill="1" applyBorder="1" applyAlignment="1" applyProtection="1">
      <alignment horizontal="right"/>
    </xf>
    <xf numFmtId="0" fontId="65" fillId="0" borderId="26" xfId="0" applyFont="1" applyBorder="1"/>
    <xf numFmtId="3" fontId="65" fillId="0" borderId="26" xfId="0" applyNumberFormat="1" applyFont="1" applyBorder="1"/>
    <xf numFmtId="0" fontId="65" fillId="0" borderId="13" xfId="0" applyFont="1" applyBorder="1"/>
    <xf numFmtId="0" fontId="65" fillId="0" borderId="24" xfId="0" applyFont="1" applyBorder="1"/>
    <xf numFmtId="0" fontId="65" fillId="0" borderId="25" xfId="0" applyFont="1" applyBorder="1"/>
    <xf numFmtId="0" fontId="65" fillId="0" borderId="22" xfId="0" applyFont="1" applyBorder="1"/>
    <xf numFmtId="0" fontId="65" fillId="5" borderId="22" xfId="0" applyFont="1" applyFill="1" applyBorder="1"/>
    <xf numFmtId="168" fontId="65" fillId="0" borderId="25" xfId="0" applyNumberFormat="1" applyFont="1" applyBorder="1" applyAlignment="1">
      <alignment horizontal="center"/>
    </xf>
    <xf numFmtId="0" fontId="65" fillId="0" borderId="25" xfId="0" applyFont="1" applyBorder="1" applyAlignment="1">
      <alignment horizontal="center"/>
    </xf>
    <xf numFmtId="0" fontId="65" fillId="0" borderId="0" xfId="0" applyFont="1" applyAlignment="1">
      <alignment horizontal="center"/>
    </xf>
    <xf numFmtId="168" fontId="65" fillId="0" borderId="22" xfId="0" applyNumberFormat="1" applyFont="1" applyBorder="1" applyAlignment="1">
      <alignment horizontal="center"/>
    </xf>
    <xf numFmtId="0" fontId="65" fillId="0" borderId="22" xfId="0" applyFont="1" applyBorder="1" applyAlignment="1">
      <alignment horizontal="center"/>
    </xf>
    <xf numFmtId="168" fontId="65" fillId="0" borderId="25" xfId="0" applyNumberFormat="1" applyFont="1" applyBorder="1"/>
    <xf numFmtId="168" fontId="65" fillId="0" borderId="0" xfId="0" applyNumberFormat="1" applyFont="1"/>
    <xf numFmtId="3" fontId="65" fillId="0" borderId="0" xfId="0" applyNumberFormat="1" applyFont="1" applyAlignment="1">
      <alignment horizontal="center"/>
    </xf>
    <xf numFmtId="0" fontId="65" fillId="0" borderId="0" xfId="0" applyFont="1" applyAlignment="1">
      <alignment horizontal="left"/>
    </xf>
    <xf numFmtId="0" fontId="0" fillId="2" borderId="2" xfId="0" applyFill="1" applyBorder="1" applyAlignment="1">
      <alignment horizontal="center"/>
    </xf>
    <xf numFmtId="0" fontId="2" fillId="0" borderId="67" xfId="0" applyFont="1" applyBorder="1" applyAlignment="1">
      <alignment wrapText="1"/>
    </xf>
    <xf numFmtId="0" fontId="2" fillId="0" borderId="43" xfId="0" applyFont="1" applyBorder="1" applyAlignment="1">
      <alignment wrapText="1"/>
    </xf>
    <xf numFmtId="0" fontId="18" fillId="0" borderId="0" xfId="0" applyFont="1" applyAlignment="1">
      <alignment horizontal="center" vertical="center" wrapText="1"/>
    </xf>
    <xf numFmtId="0" fontId="0" fillId="0" borderId="0" xfId="0" applyAlignment="1">
      <alignment horizontal="center" vertical="center" wrapText="1"/>
    </xf>
    <xf numFmtId="0" fontId="103" fillId="14" borderId="0" xfId="0" applyFont="1" applyFill="1" applyAlignment="1">
      <alignment horizontal="center"/>
    </xf>
    <xf numFmtId="0" fontId="33" fillId="0" borderId="0" xfId="0" applyFont="1" applyAlignment="1">
      <alignment horizontal="center" wrapText="1"/>
    </xf>
    <xf numFmtId="0" fontId="18" fillId="15" borderId="0" xfId="0" applyFont="1" applyFill="1" applyAlignment="1">
      <alignment horizontal="center"/>
    </xf>
    <xf numFmtId="0" fontId="18" fillId="16" borderId="0" xfId="0" applyFont="1" applyFill="1" applyAlignment="1">
      <alignment horizontal="center"/>
    </xf>
    <xf numFmtId="0" fontId="18" fillId="17" borderId="0" xfId="0" applyFont="1" applyFill="1" applyAlignment="1">
      <alignment horizontal="center"/>
    </xf>
    <xf numFmtId="0" fontId="33" fillId="0" borderId="0" xfId="0" applyFont="1" applyAlignment="1">
      <alignment horizontal="center"/>
    </xf>
    <xf numFmtId="0" fontId="87" fillId="0" borderId="0" xfId="0" applyFont="1" applyAlignment="1">
      <alignment vertical="top" wrapText="1"/>
    </xf>
    <xf numFmtId="0" fontId="100" fillId="0" borderId="30" xfId="0" applyFont="1" applyBorder="1" applyAlignment="1">
      <alignment vertical="center" wrapText="1"/>
    </xf>
    <xf numFmtId="0" fontId="100" fillId="0" borderId="0" xfId="0" applyFont="1" applyAlignment="1">
      <alignment vertical="center" wrapText="1"/>
    </xf>
    <xf numFmtId="0" fontId="10" fillId="2" borderId="23" xfId="0" applyFont="1" applyFill="1" applyBorder="1" applyAlignment="1">
      <alignment horizontal="center" wrapText="1"/>
    </xf>
    <xf numFmtId="0" fontId="10" fillId="2" borderId="35" xfId="0" applyFont="1" applyFill="1" applyBorder="1" applyAlignment="1">
      <alignment horizontal="center" wrapText="1"/>
    </xf>
    <xf numFmtId="0" fontId="10" fillId="2" borderId="14" xfId="0" applyFont="1" applyFill="1" applyBorder="1" applyAlignment="1">
      <alignment horizontal="center" wrapText="1"/>
    </xf>
    <xf numFmtId="0" fontId="10" fillId="2" borderId="22" xfId="0" applyFont="1" applyFill="1" applyBorder="1" applyAlignment="1">
      <alignment horizontal="center" wrapText="1"/>
    </xf>
    <xf numFmtId="0" fontId="10" fillId="2" borderId="19" xfId="0" applyFont="1" applyFill="1" applyBorder="1" applyAlignment="1">
      <alignment horizontal="center" wrapText="1"/>
    </xf>
    <xf numFmtId="0" fontId="34" fillId="7" borderId="148" xfId="0" applyFont="1" applyFill="1" applyBorder="1" applyProtection="1">
      <protection locked="0"/>
    </xf>
    <xf numFmtId="0" fontId="34" fillId="7" borderId="149" xfId="0" applyFont="1" applyFill="1" applyBorder="1" applyProtection="1">
      <protection locked="0"/>
    </xf>
    <xf numFmtId="0" fontId="10" fillId="2" borderId="14" xfId="0" applyFont="1" applyFill="1" applyBorder="1" applyAlignment="1">
      <alignment horizontal="center"/>
    </xf>
    <xf numFmtId="0" fontId="10" fillId="2" borderId="19" xfId="0" applyFont="1" applyFill="1" applyBorder="1" applyAlignment="1">
      <alignment horizontal="center"/>
    </xf>
    <xf numFmtId="0" fontId="10" fillId="2" borderId="23" xfId="0" applyFont="1" applyFill="1" applyBorder="1" applyAlignment="1">
      <alignment wrapText="1"/>
    </xf>
    <xf numFmtId="0" fontId="10" fillId="2" borderId="35" xfId="0" applyFont="1" applyFill="1" applyBorder="1" applyAlignment="1">
      <alignment wrapText="1"/>
    </xf>
    <xf numFmtId="0" fontId="47" fillId="0" borderId="25" xfId="0" applyFont="1" applyBorder="1" applyAlignment="1">
      <alignment wrapText="1"/>
    </xf>
    <xf numFmtId="3" fontId="100" fillId="0" borderId="0" xfId="0" applyNumberFormat="1" applyFont="1" applyAlignment="1">
      <alignment wrapText="1"/>
    </xf>
    <xf numFmtId="3" fontId="100" fillId="0" borderId="0" xfId="0" applyNumberFormat="1" applyFont="1"/>
    <xf numFmtId="0" fontId="100" fillId="0" borderId="26" xfId="0" applyFont="1" applyBorder="1" applyAlignment="1">
      <alignment horizontal="left" vertical="center" wrapText="1"/>
    </xf>
    <xf numFmtId="0" fontId="100" fillId="0" borderId="26" xfId="0" applyFont="1" applyBorder="1" applyAlignment="1">
      <alignment horizontal="left" vertical="center"/>
    </xf>
    <xf numFmtId="0" fontId="100" fillId="0" borderId="0" xfId="0" applyFont="1" applyAlignment="1">
      <alignment horizontal="left" vertical="center"/>
    </xf>
    <xf numFmtId="0" fontId="97" fillId="0" borderId="28" xfId="0" applyFont="1" applyBorder="1" applyAlignment="1">
      <alignment vertical="center" wrapText="1"/>
    </xf>
    <xf numFmtId="0" fontId="97" fillId="0" borderId="26" xfId="0" applyFont="1" applyBorder="1" applyAlignment="1">
      <alignment vertical="center" wrapText="1"/>
    </xf>
    <xf numFmtId="0" fontId="97" fillId="0" borderId="13" xfId="0" applyFont="1" applyBorder="1" applyAlignment="1">
      <alignment vertical="center" wrapText="1"/>
    </xf>
    <xf numFmtId="0" fontId="97" fillId="0" borderId="24" xfId="0" applyFont="1" applyBorder="1" applyAlignment="1">
      <alignment vertical="center" wrapText="1"/>
    </xf>
    <xf numFmtId="0" fontId="97" fillId="0" borderId="0" xfId="0" applyFont="1" applyAlignment="1">
      <alignment vertical="center" wrapText="1"/>
    </xf>
    <xf numFmtId="0" fontId="97" fillId="0" borderId="16" xfId="0" applyFont="1" applyBorder="1" applyAlignment="1">
      <alignment vertical="center" wrapText="1"/>
    </xf>
    <xf numFmtId="0" fontId="97" fillId="0" borderId="70" xfId="0" applyFont="1" applyBorder="1" applyAlignment="1">
      <alignment vertical="center" wrapText="1"/>
    </xf>
    <xf numFmtId="0" fontId="97" fillId="0" borderId="25" xfId="0" applyFont="1" applyBorder="1" applyAlignment="1">
      <alignment vertical="center" wrapText="1"/>
    </xf>
    <xf numFmtId="0" fontId="97" fillId="0" borderId="27" xfId="0" applyFont="1" applyBorder="1" applyAlignment="1">
      <alignment vertical="center" wrapText="1"/>
    </xf>
    <xf numFmtId="0" fontId="97" fillId="0" borderId="0" xfId="0" applyFont="1" applyAlignment="1">
      <alignment wrapText="1"/>
    </xf>
    <xf numFmtId="0" fontId="97" fillId="0" borderId="0" xfId="0" applyFont="1"/>
    <xf numFmtId="0" fontId="97" fillId="0" borderId="0" xfId="0" applyFont="1" applyAlignment="1">
      <alignment vertical="top" wrapText="1"/>
    </xf>
    <xf numFmtId="0" fontId="10" fillId="2" borderId="73" xfId="0" applyFont="1" applyFill="1" applyBorder="1" applyAlignment="1">
      <alignment horizontal="center" wrapText="1"/>
    </xf>
    <xf numFmtId="0" fontId="10" fillId="2" borderId="136" xfId="0" applyFont="1" applyFill="1" applyBorder="1" applyAlignment="1">
      <alignment horizontal="center" wrapText="1"/>
    </xf>
    <xf numFmtId="0" fontId="3" fillId="2" borderId="86" xfId="0" applyFont="1" applyFill="1" applyBorder="1" applyAlignment="1">
      <alignment horizontal="center"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3" fontId="10" fillId="2" borderId="72" xfId="0" applyNumberFormat="1" applyFont="1" applyFill="1" applyBorder="1" applyAlignment="1">
      <alignment horizontal="center" wrapText="1"/>
    </xf>
    <xf numFmtId="3" fontId="10" fillId="2" borderId="25" xfId="0" applyNumberFormat="1" applyFont="1" applyFill="1" applyBorder="1" applyAlignment="1">
      <alignment horizontal="center" wrapText="1"/>
    </xf>
    <xf numFmtId="0" fontId="10" fillId="2" borderId="86" xfId="0" applyFont="1" applyFill="1" applyBorder="1" applyAlignment="1">
      <alignment horizontal="center" wrapText="1"/>
    </xf>
    <xf numFmtId="0" fontId="10" fillId="2" borderId="123" xfId="0" applyFont="1" applyFill="1" applyBorder="1" applyAlignment="1">
      <alignment horizontal="center" wrapText="1"/>
    </xf>
    <xf numFmtId="3" fontId="10" fillId="2" borderId="73" xfId="0" applyNumberFormat="1" applyFont="1" applyFill="1" applyBorder="1" applyAlignment="1">
      <alignment horizontal="center" wrapText="1"/>
    </xf>
    <xf numFmtId="3" fontId="10" fillId="2" borderId="136" xfId="0" applyNumberFormat="1" applyFont="1" applyFill="1" applyBorder="1" applyAlignment="1">
      <alignment horizontal="center" wrapText="1"/>
    </xf>
    <xf numFmtId="0" fontId="95" fillId="0" borderId="0" xfId="0" applyFont="1" applyAlignment="1">
      <alignment wrapText="1"/>
    </xf>
    <xf numFmtId="0" fontId="97" fillId="0" borderId="28" xfId="0" applyFont="1" applyBorder="1" applyAlignment="1">
      <alignment wrapText="1"/>
    </xf>
    <xf numFmtId="0" fontId="97" fillId="0" borderId="26" xfId="0" applyFont="1" applyBorder="1"/>
    <xf numFmtId="0" fontId="97" fillId="0" borderId="13" xfId="0" applyFont="1" applyBorder="1"/>
    <xf numFmtId="0" fontId="97" fillId="0" borderId="24" xfId="0" applyFont="1" applyBorder="1"/>
    <xf numFmtId="0" fontId="97" fillId="0" borderId="16" xfId="0" applyFont="1" applyBorder="1"/>
    <xf numFmtId="0" fontId="97" fillId="0" borderId="70" xfId="0" applyFont="1" applyBorder="1"/>
    <xf numFmtId="0" fontId="97" fillId="0" borderId="25" xfId="0" applyFont="1" applyBorder="1"/>
    <xf numFmtId="0" fontId="97" fillId="0" borderId="27" xfId="0" applyFont="1" applyBorder="1"/>
    <xf numFmtId="3" fontId="10" fillId="2" borderId="23" xfId="0" applyNumberFormat="1" applyFont="1" applyFill="1" applyBorder="1" applyAlignment="1">
      <alignment horizontal="center" vertical="center"/>
    </xf>
    <xf numFmtId="3" fontId="10" fillId="2" borderId="35" xfId="0" applyNumberFormat="1" applyFont="1" applyFill="1" applyBorder="1" applyAlignment="1">
      <alignment horizontal="center" vertical="center"/>
    </xf>
    <xf numFmtId="9" fontId="10" fillId="2" borderId="23" xfId="5" applyFont="1" applyFill="1" applyBorder="1" applyAlignment="1" applyProtection="1">
      <alignment horizontal="center" vertical="center" wrapText="1"/>
    </xf>
    <xf numFmtId="9" fontId="10" fillId="2" borderId="35" xfId="5" applyFont="1" applyFill="1" applyBorder="1" applyAlignment="1" applyProtection="1">
      <alignment horizontal="center" vertical="center" wrapText="1"/>
    </xf>
    <xf numFmtId="0" fontId="10" fillId="2" borderId="2" xfId="0" applyFont="1" applyFill="1" applyBorder="1" applyAlignment="1">
      <alignment horizontal="center" vertical="center"/>
    </xf>
    <xf numFmtId="9" fontId="10" fillId="2" borderId="2" xfId="5" applyFont="1" applyFill="1" applyBorder="1" applyAlignment="1" applyProtection="1">
      <alignment horizontal="center" vertical="center" wrapText="1"/>
    </xf>
    <xf numFmtId="0" fontId="93" fillId="0" borderId="0" xfId="0" applyFont="1" applyAlignment="1">
      <alignment horizontal="left" wrapText="1"/>
    </xf>
    <xf numFmtId="0" fontId="97" fillId="0" borderId="14" xfId="0" applyFont="1" applyBorder="1" applyAlignment="1">
      <alignment wrapText="1"/>
    </xf>
    <xf numFmtId="0" fontId="97" fillId="0" borderId="22" xfId="0" applyFont="1" applyBorder="1" applyAlignment="1">
      <alignment wrapText="1"/>
    </xf>
    <xf numFmtId="0" fontId="97" fillId="0" borderId="19" xfId="0" applyFont="1" applyBorder="1" applyAlignment="1">
      <alignment wrapText="1"/>
    </xf>
    <xf numFmtId="0" fontId="10" fillId="0" borderId="22" xfId="0" applyFont="1" applyBorder="1" applyAlignment="1" applyProtection="1">
      <alignment wrapText="1"/>
      <protection locked="0"/>
    </xf>
    <xf numFmtId="0" fontId="10" fillId="0" borderId="22" xfId="0" applyFont="1" applyBorder="1" applyProtection="1">
      <protection locked="0"/>
    </xf>
    <xf numFmtId="0" fontId="13" fillId="0" borderId="0" xfId="0" applyFont="1"/>
    <xf numFmtId="0" fontId="10" fillId="2" borderId="28" xfId="0" applyFont="1" applyFill="1" applyBorder="1" applyAlignment="1">
      <alignment horizontal="center" vertical="center"/>
    </xf>
    <xf numFmtId="0" fontId="10" fillId="2" borderId="26" xfId="0" applyFont="1" applyFill="1" applyBorder="1" applyAlignment="1">
      <alignment horizontal="center" vertical="center"/>
    </xf>
    <xf numFmtId="0" fontId="10" fillId="2" borderId="70" xfId="0" applyFont="1" applyFill="1" applyBorder="1" applyAlignment="1">
      <alignment horizontal="center" vertical="center"/>
    </xf>
    <xf numFmtId="0" fontId="10" fillId="2" borderId="25" xfId="0" applyFont="1" applyFill="1" applyBorder="1" applyAlignment="1">
      <alignment horizontal="center" vertical="center"/>
    </xf>
    <xf numFmtId="3" fontId="52" fillId="2" borderId="28" xfId="0" applyNumberFormat="1" applyFont="1" applyFill="1" applyBorder="1" applyAlignment="1">
      <alignment horizontal="center"/>
    </xf>
    <xf numFmtId="3" fontId="52" fillId="2" borderId="13" xfId="0" applyNumberFormat="1" applyFont="1" applyFill="1" applyBorder="1" applyAlignment="1">
      <alignment horizontal="center"/>
    </xf>
    <xf numFmtId="0" fontId="104" fillId="0" borderId="14" xfId="0" applyFont="1" applyBorder="1" applyAlignment="1">
      <alignment wrapText="1"/>
    </xf>
    <xf numFmtId="0" fontId="104" fillId="0" borderId="22" xfId="0" applyFont="1" applyBorder="1" applyAlignment="1">
      <alignment wrapText="1"/>
    </xf>
    <xf numFmtId="0" fontId="104" fillId="0" borderId="19" xfId="0" applyFont="1" applyBorder="1" applyAlignment="1">
      <alignment wrapText="1"/>
    </xf>
    <xf numFmtId="0" fontId="2" fillId="0" borderId="15" xfId="0" applyFont="1" applyBorder="1" applyAlignment="1">
      <alignment wrapText="1"/>
    </xf>
    <xf numFmtId="0" fontId="2" fillId="0" borderId="22" xfId="0" applyFont="1" applyBorder="1" applyAlignment="1">
      <alignment wrapText="1"/>
    </xf>
    <xf numFmtId="0" fontId="2" fillId="0" borderId="82" xfId="0" applyFont="1" applyBorder="1" applyAlignment="1">
      <alignment wrapText="1"/>
    </xf>
    <xf numFmtId="0" fontId="2" fillId="0" borderId="25" xfId="0" applyFont="1" applyBorder="1" applyAlignment="1">
      <alignment wrapText="1"/>
    </xf>
    <xf numFmtId="0" fontId="13" fillId="0" borderId="0" xfId="0" applyFont="1" applyAlignment="1">
      <alignment horizontal="right"/>
    </xf>
    <xf numFmtId="0" fontId="10" fillId="2" borderId="83" xfId="0" applyFont="1" applyFill="1" applyBorder="1" applyAlignment="1">
      <alignment horizontal="center"/>
    </xf>
    <xf numFmtId="0" fontId="10" fillId="2" borderId="71" xfId="0" applyFont="1" applyFill="1" applyBorder="1" applyAlignment="1">
      <alignment horizontal="center"/>
    </xf>
    <xf numFmtId="0" fontId="105" fillId="0" borderId="0" xfId="0" applyFont="1" applyAlignment="1">
      <alignment wrapText="1"/>
    </xf>
    <xf numFmtId="0" fontId="22" fillId="0" borderId="0" xfId="0" applyFont="1" applyAlignment="1">
      <alignment horizontal="center"/>
    </xf>
    <xf numFmtId="3" fontId="22" fillId="0" borderId="25" xfId="0" applyNumberFormat="1" applyFont="1" applyBorder="1" applyAlignment="1">
      <alignment horizontal="center"/>
    </xf>
    <xf numFmtId="0" fontId="41" fillId="0" borderId="0" xfId="0" applyFont="1" applyAlignment="1">
      <alignment horizontal="center"/>
    </xf>
    <xf numFmtId="0" fontId="51" fillId="0" borderId="0" xfId="0" applyFont="1" applyAlignment="1">
      <alignment wrapText="1"/>
    </xf>
    <xf numFmtId="0" fontId="10" fillId="2" borderId="10" xfId="0" applyFont="1" applyFill="1" applyBorder="1" applyAlignment="1">
      <alignment horizontal="center" vertical="center"/>
    </xf>
    <xf numFmtId="0" fontId="10" fillId="2" borderId="3" xfId="0" applyFont="1" applyFill="1" applyBorder="1" applyAlignment="1">
      <alignment horizontal="center" vertical="center"/>
    </xf>
    <xf numFmtId="9" fontId="10" fillId="2" borderId="4" xfId="5" applyFont="1" applyFill="1" applyBorder="1" applyAlignment="1" applyProtection="1">
      <alignment horizontal="center" vertical="center" wrapText="1"/>
    </xf>
    <xf numFmtId="3" fontId="10" fillId="2" borderId="11" xfId="0" applyNumberFormat="1" applyFont="1" applyFill="1" applyBorder="1" applyAlignment="1">
      <alignment horizontal="center" vertical="center" wrapText="1"/>
    </xf>
    <xf numFmtId="3" fontId="10" fillId="2" borderId="8" xfId="0" applyNumberFormat="1" applyFont="1" applyFill="1" applyBorder="1" applyAlignment="1">
      <alignment horizontal="center" vertical="center" wrapText="1"/>
    </xf>
    <xf numFmtId="3" fontId="10" fillId="2" borderId="4" xfId="0" applyNumberFormat="1" applyFont="1" applyFill="1" applyBorder="1" applyAlignment="1">
      <alignment horizontal="center" vertical="center" wrapText="1"/>
    </xf>
    <xf numFmtId="3" fontId="10" fillId="2" borderId="2" xfId="0" applyNumberFormat="1" applyFont="1" applyFill="1" applyBorder="1" applyAlignment="1">
      <alignment horizontal="center" vertical="center" wrapText="1"/>
    </xf>
    <xf numFmtId="3" fontId="10" fillId="2" borderId="150" xfId="0" applyNumberFormat="1" applyFont="1" applyFill="1" applyBorder="1" applyAlignment="1">
      <alignment horizontal="center" vertical="center" wrapText="1"/>
    </xf>
    <xf numFmtId="3" fontId="10" fillId="2" borderId="35" xfId="0" applyNumberFormat="1" applyFont="1" applyFill="1" applyBorder="1" applyAlignment="1">
      <alignment horizontal="center" vertical="center" wrapText="1"/>
    </xf>
    <xf numFmtId="0" fontId="56" fillId="2" borderId="150" xfId="0" applyFont="1" applyFill="1" applyBorder="1" applyAlignment="1">
      <alignment horizontal="center" vertical="center" wrapText="1"/>
    </xf>
    <xf numFmtId="0" fontId="56" fillId="2" borderId="107" xfId="0" applyFont="1" applyFill="1" applyBorder="1" applyAlignment="1">
      <alignment horizontal="center" vertical="center" wrapText="1"/>
    </xf>
    <xf numFmtId="0" fontId="56" fillId="2" borderId="52" xfId="0" applyFont="1" applyFill="1" applyBorder="1" applyAlignment="1">
      <alignment horizontal="center" vertical="center" wrapText="1"/>
    </xf>
    <xf numFmtId="4" fontId="56" fillId="2" borderId="98" xfId="0" applyNumberFormat="1" applyFont="1" applyFill="1" applyBorder="1" applyAlignment="1">
      <alignment horizontal="center" vertical="center" wrapText="1"/>
    </xf>
    <xf numFmtId="4" fontId="56" fillId="2" borderId="106" xfId="0" applyNumberFormat="1" applyFont="1" applyFill="1" applyBorder="1" applyAlignment="1">
      <alignment horizontal="center" vertical="center" wrapText="1"/>
    </xf>
    <xf numFmtId="4" fontId="56" fillId="2" borderId="109" xfId="0" applyNumberFormat="1" applyFont="1" applyFill="1" applyBorder="1" applyAlignment="1">
      <alignment horizontal="center" vertical="center" wrapText="1"/>
    </xf>
    <xf numFmtId="3" fontId="56" fillId="2" borderId="150" xfId="0" applyNumberFormat="1" applyFont="1" applyFill="1" applyBorder="1" applyAlignment="1">
      <alignment horizontal="center" vertical="center" wrapText="1"/>
    </xf>
    <xf numFmtId="3" fontId="56" fillId="2" borderId="107" xfId="0" applyNumberFormat="1" applyFont="1" applyFill="1" applyBorder="1" applyAlignment="1">
      <alignment horizontal="center" vertical="center" wrapText="1"/>
    </xf>
    <xf numFmtId="3" fontId="56" fillId="2" borderId="52" xfId="0" applyNumberFormat="1" applyFont="1" applyFill="1" applyBorder="1" applyAlignment="1">
      <alignment horizontal="center" vertical="center" wrapText="1"/>
    </xf>
    <xf numFmtId="4" fontId="56" fillId="2" borderId="150" xfId="0" applyNumberFormat="1" applyFont="1" applyFill="1" applyBorder="1" applyAlignment="1">
      <alignment horizontal="center" vertical="center" wrapText="1"/>
    </xf>
    <xf numFmtId="4" fontId="56" fillId="2" borderId="107" xfId="0" applyNumberFormat="1" applyFont="1" applyFill="1" applyBorder="1" applyAlignment="1">
      <alignment horizontal="center" vertical="center" wrapText="1"/>
    </xf>
    <xf numFmtId="4" fontId="56" fillId="2" borderId="52" xfId="0" applyNumberFormat="1" applyFont="1" applyFill="1" applyBorder="1" applyAlignment="1">
      <alignment horizontal="center" vertical="center" wrapText="1"/>
    </xf>
    <xf numFmtId="173" fontId="0" fillId="0" borderId="7" xfId="0" applyNumberFormat="1" applyBorder="1"/>
    <xf numFmtId="0" fontId="18" fillId="0" borderId="5" xfId="0" applyFont="1" applyBorder="1" applyAlignment="1">
      <alignment wrapText="1"/>
    </xf>
    <xf numFmtId="0" fontId="18" fillId="0" borderId="0" xfId="0" applyFont="1" applyAlignment="1">
      <alignment wrapText="1"/>
    </xf>
    <xf numFmtId="0" fontId="56" fillId="2" borderId="59" xfId="0" applyFont="1" applyFill="1" applyBorder="1" applyAlignment="1">
      <alignment horizontal="center" vertical="center" wrapText="1"/>
    </xf>
    <xf numFmtId="0" fontId="56" fillId="2" borderId="151" xfId="0" applyFont="1" applyFill="1" applyBorder="1" applyAlignment="1">
      <alignment horizontal="center" vertical="center" wrapText="1"/>
    </xf>
    <xf numFmtId="0" fontId="56" fillId="2" borderId="152" xfId="0" applyFont="1" applyFill="1" applyBorder="1" applyAlignment="1">
      <alignment horizontal="center" vertical="center" wrapText="1"/>
    </xf>
    <xf numFmtId="0" fontId="2" fillId="2" borderId="23" xfId="0" applyFont="1" applyFill="1" applyBorder="1" applyAlignment="1">
      <alignment horizontal="center" wrapText="1"/>
    </xf>
    <xf numFmtId="0" fontId="2" fillId="2" borderId="35" xfId="0" applyFont="1" applyFill="1" applyBorder="1" applyAlignment="1">
      <alignment horizontal="center" wrapText="1"/>
    </xf>
    <xf numFmtId="0" fontId="53" fillId="0" borderId="0" xfId="0" applyFont="1" applyAlignment="1">
      <alignment horizontal="center"/>
    </xf>
    <xf numFmtId="0" fontId="53" fillId="0" borderId="84" xfId="0" applyFont="1" applyBorder="1" applyAlignment="1">
      <alignment horizontal="center"/>
    </xf>
    <xf numFmtId="0" fontId="53" fillId="0" borderId="91" xfId="0" applyFont="1" applyBorder="1" applyAlignment="1">
      <alignment horizontal="center"/>
    </xf>
    <xf numFmtId="0" fontId="2" fillId="0" borderId="86" xfId="0" applyFont="1" applyBorder="1" applyAlignment="1">
      <alignment horizontal="center" vertical="center" wrapText="1"/>
    </xf>
    <xf numFmtId="0" fontId="2" fillId="0" borderId="72"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123"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36" xfId="0" applyFont="1" applyBorder="1" applyAlignment="1">
      <alignment horizontal="center" vertical="center" wrapText="1"/>
    </xf>
    <xf numFmtId="0" fontId="12" fillId="0" borderId="86" xfId="0" applyFont="1" applyBorder="1" applyAlignment="1">
      <alignment horizontal="center" vertical="center" wrapText="1"/>
    </xf>
    <xf numFmtId="0" fontId="12" fillId="0" borderId="72" xfId="0" applyFont="1" applyBorder="1" applyAlignment="1">
      <alignment horizontal="center" vertical="center" wrapText="1"/>
    </xf>
    <xf numFmtId="0" fontId="12" fillId="0" borderId="73" xfId="0" applyFont="1" applyBorder="1" applyAlignment="1">
      <alignment horizontal="center" vertical="center" wrapText="1"/>
    </xf>
    <xf numFmtId="0" fontId="12" fillId="0" borderId="123"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136" xfId="0" applyFont="1" applyBorder="1" applyAlignment="1">
      <alignment horizontal="center" vertical="center" wrapText="1"/>
    </xf>
    <xf numFmtId="4" fontId="2" fillId="0" borderId="86" xfId="0" applyNumberFormat="1" applyFont="1" applyBorder="1" applyAlignment="1">
      <alignment horizontal="center" vertical="center" wrapText="1"/>
    </xf>
    <xf numFmtId="4" fontId="2" fillId="0" borderId="72" xfId="0" applyNumberFormat="1" applyFont="1" applyBorder="1" applyAlignment="1">
      <alignment horizontal="center" vertical="center" wrapText="1"/>
    </xf>
    <xf numFmtId="4" fontId="2" fillId="0" borderId="73" xfId="0" applyNumberFormat="1" applyFont="1" applyBorder="1" applyAlignment="1">
      <alignment horizontal="center" vertical="center" wrapText="1"/>
    </xf>
    <xf numFmtId="4" fontId="2" fillId="0" borderId="123" xfId="0" applyNumberFormat="1" applyFont="1" applyBorder="1" applyAlignment="1">
      <alignment horizontal="center" vertical="center" wrapText="1"/>
    </xf>
    <xf numFmtId="4" fontId="2" fillId="0" borderId="25" xfId="0" applyNumberFormat="1" applyFont="1" applyBorder="1" applyAlignment="1">
      <alignment horizontal="center" vertical="center" wrapText="1"/>
    </xf>
    <xf numFmtId="4" fontId="2" fillId="0" borderId="136" xfId="0" applyNumberFormat="1" applyFont="1" applyBorder="1" applyAlignment="1">
      <alignment horizontal="center" vertical="center" wrapText="1"/>
    </xf>
    <xf numFmtId="0" fontId="56" fillId="0" borderId="86" xfId="0" applyFont="1" applyBorder="1" applyAlignment="1">
      <alignment horizontal="center" vertical="center"/>
    </xf>
    <xf numFmtId="0" fontId="56" fillId="0" borderId="72" xfId="0" applyFont="1" applyBorder="1" applyAlignment="1">
      <alignment horizontal="center" vertical="center"/>
    </xf>
    <xf numFmtId="0" fontId="56" fillId="0" borderId="73" xfId="0" applyFont="1" applyBorder="1" applyAlignment="1">
      <alignment horizontal="center" vertical="center"/>
    </xf>
    <xf numFmtId="0" fontId="56" fillId="0" borderId="5" xfId="0" applyFont="1" applyBorder="1" applyAlignment="1">
      <alignment horizontal="center" vertical="center"/>
    </xf>
    <xf numFmtId="0" fontId="56" fillId="0" borderId="0" xfId="0" applyFont="1" applyAlignment="1">
      <alignment horizontal="center" vertical="center"/>
    </xf>
    <xf numFmtId="0" fontId="56" fillId="0" borderId="7" xfId="0" applyFont="1" applyBorder="1" applyAlignment="1">
      <alignment horizontal="center" vertical="center"/>
    </xf>
    <xf numFmtId="0" fontId="56" fillId="2" borderId="31" xfId="0" applyFont="1" applyFill="1" applyBorder="1" applyAlignment="1">
      <alignment horizontal="center" vertical="center"/>
    </xf>
    <xf numFmtId="0" fontId="56" fillId="2" borderId="32" xfId="0" applyFont="1" applyFill="1" applyBorder="1" applyAlignment="1">
      <alignment horizontal="center" vertical="center"/>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7" xfId="0" applyFont="1" applyBorder="1" applyAlignment="1">
      <alignment horizontal="center" vertical="center" wrapText="1"/>
    </xf>
    <xf numFmtId="0" fontId="2" fillId="2" borderId="107" xfId="0" applyFont="1" applyFill="1" applyBorder="1" applyAlignment="1">
      <alignment horizontal="center" wrapText="1"/>
    </xf>
    <xf numFmtId="0" fontId="56" fillId="0" borderId="6" xfId="0" applyFont="1" applyBorder="1" applyAlignment="1">
      <alignment horizontal="center" vertical="center"/>
    </xf>
    <xf numFmtId="0" fontId="56" fillId="0" borderId="38" xfId="0" applyFont="1" applyBorder="1" applyAlignment="1">
      <alignment horizontal="center" vertical="center"/>
    </xf>
    <xf numFmtId="0" fontId="56" fillId="0" borderId="12" xfId="0" applyFont="1" applyBorder="1" applyAlignment="1">
      <alignment horizontal="center" vertical="center"/>
    </xf>
    <xf numFmtId="0" fontId="56" fillId="2" borderId="23" xfId="0" applyFont="1" applyFill="1" applyBorder="1" applyAlignment="1">
      <alignment horizontal="center" vertical="center"/>
    </xf>
    <xf numFmtId="0" fontId="56" fillId="2" borderId="107" xfId="0" applyFont="1" applyFill="1" applyBorder="1" applyAlignment="1">
      <alignment horizontal="center" vertical="center"/>
    </xf>
    <xf numFmtId="0" fontId="56" fillId="2" borderId="100" xfId="0" applyFont="1" applyFill="1" applyBorder="1" applyAlignment="1">
      <alignment horizontal="center" vertical="center"/>
    </xf>
    <xf numFmtId="0" fontId="56" fillId="2" borderId="35" xfId="0" applyFont="1" applyFill="1" applyBorder="1" applyAlignment="1">
      <alignment horizontal="center" vertical="center"/>
    </xf>
    <xf numFmtId="0" fontId="56" fillId="2" borderId="14" xfId="0" applyFont="1" applyFill="1" applyBorder="1" applyAlignment="1">
      <alignment horizontal="center" vertical="center" wrapText="1"/>
    </xf>
    <xf numFmtId="0" fontId="56" fillId="2" borderId="19" xfId="0" applyFont="1" applyFill="1" applyBorder="1" applyAlignment="1">
      <alignment horizontal="center" vertical="center" wrapText="1"/>
    </xf>
    <xf numFmtId="0" fontId="10" fillId="2" borderId="153" xfId="0" applyFont="1" applyFill="1" applyBorder="1" applyAlignment="1">
      <alignment horizontal="center" wrapText="1"/>
    </xf>
    <xf numFmtId="0" fontId="10" fillId="2" borderId="91" xfId="0" applyFont="1" applyFill="1" applyBorder="1" applyAlignment="1">
      <alignment horizontal="center" wrapText="1"/>
    </xf>
    <xf numFmtId="0" fontId="10" fillId="2" borderId="84" xfId="0" applyFont="1" applyFill="1" applyBorder="1" applyAlignment="1">
      <alignment horizontal="center" wrapText="1"/>
    </xf>
    <xf numFmtId="0" fontId="10" fillId="2" borderId="130" xfId="0" applyFont="1" applyFill="1" applyBorder="1" applyAlignment="1">
      <alignment horizontal="center" wrapText="1"/>
    </xf>
    <xf numFmtId="0" fontId="3" fillId="0" borderId="51" xfId="0" applyFont="1" applyBorder="1" applyAlignment="1">
      <alignment horizontal="center"/>
    </xf>
    <xf numFmtId="0" fontId="104" fillId="0" borderId="22" xfId="0" applyFont="1" applyBorder="1"/>
    <xf numFmtId="0" fontId="104" fillId="0" borderId="19" xfId="0" applyFont="1" applyBorder="1"/>
    <xf numFmtId="0" fontId="2" fillId="0" borderId="5" xfId="0" applyFont="1" applyBorder="1" applyAlignment="1">
      <alignment wrapText="1"/>
    </xf>
    <xf numFmtId="0" fontId="2" fillId="0" borderId="16" xfId="0" applyFont="1" applyBorder="1" applyAlignment="1">
      <alignment wrapText="1"/>
    </xf>
    <xf numFmtId="0" fontId="2" fillId="0" borderId="154" xfId="0" applyFont="1" applyBorder="1" applyAlignment="1">
      <alignment wrapText="1"/>
    </xf>
    <xf numFmtId="0" fontId="2" fillId="0" borderId="13" xfId="0" applyFont="1" applyBorder="1" applyAlignment="1">
      <alignment wrapText="1"/>
    </xf>
    <xf numFmtId="0" fontId="2" fillId="5" borderId="93" xfId="0" applyFont="1" applyFill="1" applyBorder="1" applyAlignment="1">
      <alignment wrapText="1"/>
    </xf>
    <xf numFmtId="0" fontId="2" fillId="5" borderId="19" xfId="0" applyFont="1" applyFill="1" applyBorder="1" applyAlignment="1">
      <alignment wrapText="1"/>
    </xf>
    <xf numFmtId="0" fontId="2" fillId="0" borderId="26" xfId="0" applyFont="1" applyBorder="1" applyAlignment="1">
      <alignment wrapText="1"/>
    </xf>
    <xf numFmtId="0" fontId="3" fillId="0" borderId="0" xfId="0" applyFont="1" applyAlignment="1">
      <alignment horizontal="center"/>
    </xf>
    <xf numFmtId="0" fontId="41" fillId="0" borderId="38" xfId="0" applyFont="1" applyBorder="1" applyAlignment="1">
      <alignment horizontal="center"/>
    </xf>
  </cellXfs>
  <cellStyles count="6">
    <cellStyle name="Euro" xfId="1" xr:uid="{00000000-0005-0000-0000-000000000000}"/>
    <cellStyle name="Hipervínculo" xfId="2" builtinId="8"/>
    <cellStyle name="Millares" xfId="3" builtinId="3"/>
    <cellStyle name="Millares [0]" xfId="4" builtinId="6"/>
    <cellStyle name="Normal" xfId="0" builtinId="0"/>
    <cellStyle name="Porcentaje"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0</xdr:colOff>
      <xdr:row>46</xdr:row>
      <xdr:rowOff>0</xdr:rowOff>
    </xdr:from>
    <xdr:ext cx="76200" cy="200025"/>
    <xdr:sp macro="" textlink="">
      <xdr:nvSpPr>
        <xdr:cNvPr id="13406" name="Text Box 94">
          <a:extLst>
            <a:ext uri="{FF2B5EF4-FFF2-40B4-BE49-F238E27FC236}">
              <a16:creationId xmlns:a16="http://schemas.microsoft.com/office/drawing/2014/main" id="{6EE37A10-C4D2-403A-92D8-E34ABB67284B}"/>
            </a:ext>
          </a:extLst>
        </xdr:cNvPr>
        <xdr:cNvSpPr txBox="1">
          <a:spLocks noChangeArrowheads="1"/>
        </xdr:cNvSpPr>
      </xdr:nvSpPr>
      <xdr:spPr bwMode="auto">
        <a:xfrm>
          <a:off x="0" y="10039350"/>
          <a:ext cx="76200" cy="200025"/>
        </a:xfrm>
        <a:prstGeom prst="rect">
          <a:avLst/>
        </a:prstGeom>
        <a:noFill/>
        <a:ln w="9525">
          <a:noFill/>
          <a:miter lim="800000"/>
          <a:headEnd/>
          <a:tailEnd/>
        </a:ln>
        <a:effectLst>
          <a:outerShdw dist="35921" dir="2700000" algn="ctr" rotWithShape="0">
            <a:srgbClr val="000000"/>
          </a:outerShdw>
        </a:effectLst>
      </xdr:spPr>
    </xdr:sp>
    <xdr:clientData/>
  </xdr:oneCellAnchor>
  <xdr:twoCellAnchor>
    <xdr:from>
      <xdr:col>7</xdr:col>
      <xdr:colOff>114300</xdr:colOff>
      <xdr:row>46</xdr:row>
      <xdr:rowOff>0</xdr:rowOff>
    </xdr:from>
    <xdr:to>
      <xdr:col>8</xdr:col>
      <xdr:colOff>733425</xdr:colOff>
      <xdr:row>49</xdr:row>
      <xdr:rowOff>0</xdr:rowOff>
    </xdr:to>
    <xdr:sp macro="[0]!IrTesoreria" textlink="">
      <xdr:nvSpPr>
        <xdr:cNvPr id="28840" name="Text Box 109">
          <a:extLst>
            <a:ext uri="{FF2B5EF4-FFF2-40B4-BE49-F238E27FC236}">
              <a16:creationId xmlns:a16="http://schemas.microsoft.com/office/drawing/2014/main" id="{9722AA62-6133-42E8-8653-297EDD1552D9}"/>
            </a:ext>
          </a:extLst>
        </xdr:cNvPr>
        <xdr:cNvSpPr txBox="1">
          <a:spLocks noChangeArrowheads="1"/>
        </xdr:cNvSpPr>
      </xdr:nvSpPr>
      <xdr:spPr bwMode="auto">
        <a:xfrm>
          <a:off x="3848100" y="7839075"/>
          <a:ext cx="8667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8575" algn="ctr">
              <a:solidFill>
                <a:srgbClr val="000000"/>
              </a:solidFill>
              <a:miter lim="800000"/>
              <a:headEnd/>
              <a:tailEnd/>
            </a14:hiddenLine>
          </a:ext>
        </a:extLst>
      </xdr:spPr>
    </xdr:sp>
    <xdr:clientData/>
  </xdr:twoCellAnchor>
  <xdr:twoCellAnchor>
    <xdr:from>
      <xdr:col>0</xdr:col>
      <xdr:colOff>0</xdr:colOff>
      <xdr:row>57</xdr:row>
      <xdr:rowOff>0</xdr:rowOff>
    </xdr:from>
    <xdr:to>
      <xdr:col>0</xdr:col>
      <xdr:colOff>0</xdr:colOff>
      <xdr:row>57</xdr:row>
      <xdr:rowOff>0</xdr:rowOff>
    </xdr:to>
    <xdr:grpSp>
      <xdr:nvGrpSpPr>
        <xdr:cNvPr id="28841" name="Group 205">
          <a:extLst>
            <a:ext uri="{FF2B5EF4-FFF2-40B4-BE49-F238E27FC236}">
              <a16:creationId xmlns:a16="http://schemas.microsoft.com/office/drawing/2014/main" id="{5EDC491A-3326-4837-907B-38F83628BB64}"/>
            </a:ext>
          </a:extLst>
        </xdr:cNvPr>
        <xdr:cNvGrpSpPr>
          <a:grpSpLocks/>
        </xdr:cNvGrpSpPr>
      </xdr:nvGrpSpPr>
      <xdr:grpSpPr bwMode="auto">
        <a:xfrm>
          <a:off x="0" y="9814891"/>
          <a:ext cx="0" cy="0"/>
          <a:chOff x="392" y="924"/>
          <a:chExt cx="105" cy="81"/>
        </a:xfrm>
      </xdr:grpSpPr>
      <xdr:grpSp>
        <xdr:nvGrpSpPr>
          <xdr:cNvPr id="28842" name="Group 206">
            <a:extLst>
              <a:ext uri="{FF2B5EF4-FFF2-40B4-BE49-F238E27FC236}">
                <a16:creationId xmlns:a16="http://schemas.microsoft.com/office/drawing/2014/main" id="{12146B5A-0820-4899-8143-1F218904CE67}"/>
              </a:ext>
            </a:extLst>
          </xdr:cNvPr>
          <xdr:cNvGrpSpPr>
            <a:grpSpLocks/>
          </xdr:cNvGrpSpPr>
        </xdr:nvGrpSpPr>
        <xdr:grpSpPr bwMode="auto">
          <a:xfrm>
            <a:off x="392" y="924"/>
            <a:ext cx="105" cy="81"/>
            <a:chOff x="960" y="1392"/>
            <a:chExt cx="1680" cy="768"/>
          </a:xfrm>
        </xdr:grpSpPr>
        <xdr:sp macro="[0]!IrBalances" textlink="">
          <xdr:nvSpPr>
            <xdr:cNvPr id="28844" name="AutoShape 207">
              <a:extLst>
                <a:ext uri="{FF2B5EF4-FFF2-40B4-BE49-F238E27FC236}">
                  <a16:creationId xmlns:a16="http://schemas.microsoft.com/office/drawing/2014/main" id="{D173BA36-8A7A-48DD-A310-48DC84871856}"/>
                </a:ext>
              </a:extLst>
            </xdr:cNvPr>
            <xdr:cNvSpPr>
              <a:spLocks noChangeArrowheads="1"/>
            </xdr:cNvSpPr>
          </xdr:nvSpPr>
          <xdr:spPr bwMode="auto">
            <a:xfrm>
              <a:off x="960" y="1392"/>
              <a:ext cx="1680" cy="768"/>
            </a:xfrm>
            <a:prstGeom prst="roundRect">
              <a:avLst>
                <a:gd name="adj" fmla="val 16667"/>
              </a:avLst>
            </a:prstGeom>
            <a:gradFill rotWithShape="0">
              <a:gsLst>
                <a:gs pos="0">
                  <a:srgbClr val="FFFFFF"/>
                </a:gs>
                <a:gs pos="50000">
                  <a:srgbClr val="B2B2B2"/>
                </a:gs>
                <a:gs pos="100000">
                  <a:srgbClr val="FFFFFF"/>
                </a:gs>
              </a:gsLst>
              <a:lin ang="5400000" scaled="1"/>
            </a:gradFill>
            <a:ln>
              <a:noFill/>
            </a:ln>
            <a:effectLst>
              <a:prstShdw prst="shdw17" dist="17961" dir="2700000">
                <a:srgbClr val="6B6B6B"/>
              </a:prstShdw>
            </a:effectLst>
            <a:extLst>
              <a:ext uri="{91240B29-F687-4F45-9708-019B960494DF}">
                <a14:hiddenLine xmlns:a14="http://schemas.microsoft.com/office/drawing/2010/main" w="9525">
                  <a:solidFill>
                    <a:srgbClr val="000000"/>
                  </a:solidFill>
                  <a:round/>
                  <a:headEnd/>
                  <a:tailEnd/>
                </a14:hiddenLine>
              </a:ext>
            </a:extLst>
          </xdr:spPr>
        </xdr:sp>
        <xdr:sp macro="[0]!IrBalances" textlink="">
          <xdr:nvSpPr>
            <xdr:cNvPr id="28845" name="AutoShape 208">
              <a:extLst>
                <a:ext uri="{FF2B5EF4-FFF2-40B4-BE49-F238E27FC236}">
                  <a16:creationId xmlns:a16="http://schemas.microsoft.com/office/drawing/2014/main" id="{68DFB0FB-28A3-4956-9B7C-3263CE66B5BE}"/>
                </a:ext>
              </a:extLst>
            </xdr:cNvPr>
            <xdr:cNvSpPr>
              <a:spLocks noChangeArrowheads="1"/>
            </xdr:cNvSpPr>
          </xdr:nvSpPr>
          <xdr:spPr bwMode="auto">
            <a:xfrm>
              <a:off x="1056" y="1440"/>
              <a:ext cx="1488" cy="672"/>
            </a:xfrm>
            <a:prstGeom prst="roundRect">
              <a:avLst>
                <a:gd name="adj" fmla="val 16667"/>
              </a:avLst>
            </a:prstGeom>
            <a:gradFill rotWithShape="0">
              <a:gsLst>
                <a:gs pos="0">
                  <a:srgbClr val="B2B2B2"/>
                </a:gs>
                <a:gs pos="50000">
                  <a:srgbClr val="FFFFFF"/>
                </a:gs>
                <a:gs pos="100000">
                  <a:srgbClr val="B2B2B2"/>
                </a:gs>
              </a:gsLst>
              <a:lin ang="5400000" scaled="1"/>
            </a:gradFill>
            <a:ln w="28575">
              <a:solidFill>
                <a:srgbClr val="FFFFFF"/>
              </a:solidFill>
              <a:round/>
              <a:headEnd/>
              <a:tailEnd/>
            </a:ln>
          </xdr:spPr>
        </xdr:sp>
      </xdr:grpSp>
      <xdr:sp macro="[0]!IrBalances" textlink="">
        <xdr:nvSpPr>
          <xdr:cNvPr id="13521" name="Text Box 209">
            <a:extLst>
              <a:ext uri="{FF2B5EF4-FFF2-40B4-BE49-F238E27FC236}">
                <a16:creationId xmlns:a16="http://schemas.microsoft.com/office/drawing/2014/main" id="{714C0270-4FB1-4C3C-B9BA-F490884B9206}"/>
              </a:ext>
            </a:extLst>
          </xdr:cNvPr>
          <xdr:cNvSpPr txBox="1">
            <a:spLocks noChangeArrowheads="1"/>
          </xdr:cNvSpPr>
        </xdr:nvSpPr>
        <xdr:spPr bwMode="auto">
          <a:xfrm>
            <a:off x="0" y="9620250"/>
            <a:ext cx="0" cy="0"/>
          </a:xfrm>
          <a:prstGeom prst="rect">
            <a:avLst/>
          </a:prstGeom>
          <a:noFill/>
          <a:ln w="9525">
            <a:no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s-ES" sz="1000" b="1" i="0" strike="noStrike">
                <a:solidFill>
                  <a:srgbClr val="000080"/>
                </a:solidFill>
                <a:latin typeface="Arial"/>
                <a:cs typeface="Arial"/>
              </a:rPr>
              <a:t>Si los botones de enlace no funcionan, pulse aqui</a:t>
            </a:r>
          </a:p>
        </xdr:txBody>
      </xdr:sp>
    </xdr:grpSp>
    <xdr:clientData/>
  </xdr:twoCellAnchor>
  <xdr:twoCellAnchor>
    <xdr:from>
      <xdr:col>17</xdr:col>
      <xdr:colOff>600075</xdr:colOff>
      <xdr:row>270</xdr:row>
      <xdr:rowOff>0</xdr:rowOff>
    </xdr:from>
    <xdr:to>
      <xdr:col>18</xdr:col>
      <xdr:colOff>123825</xdr:colOff>
      <xdr:row>270</xdr:row>
      <xdr:rowOff>0</xdr:rowOff>
    </xdr:to>
    <xdr:sp macro="" textlink="">
      <xdr:nvSpPr>
        <xdr:cNvPr id="13589" name="Object 277" hidden="1">
          <a:extLst>
            <a:ext uri="{63B3BB69-23CF-44E3-9099-C40C66FF867C}">
              <a14:compatExt xmlns:a14="http://schemas.microsoft.com/office/drawing/2010/main" spid="_x0000_s13589"/>
            </a:ext>
            <a:ext uri="{FF2B5EF4-FFF2-40B4-BE49-F238E27FC236}">
              <a16:creationId xmlns:a16="http://schemas.microsoft.com/office/drawing/2014/main" id="{44528CC8-EAF0-4E72-A7E3-1041F12CA8C1}"/>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38</xdr:row>
      <xdr:rowOff>0</xdr:rowOff>
    </xdr:from>
    <xdr:to>
      <xdr:col>8</xdr:col>
      <xdr:colOff>476250</xdr:colOff>
      <xdr:row>38</xdr:row>
      <xdr:rowOff>0</xdr:rowOff>
    </xdr:to>
    <xdr:sp macro="" textlink="">
      <xdr:nvSpPr>
        <xdr:cNvPr id="11280" name="Text Box 16">
          <a:extLst>
            <a:ext uri="{FF2B5EF4-FFF2-40B4-BE49-F238E27FC236}">
              <a16:creationId xmlns:a16="http://schemas.microsoft.com/office/drawing/2014/main" id="{86D1FAC9-9DE7-4D34-8399-B49665D55C1A}"/>
            </a:ext>
          </a:extLst>
        </xdr:cNvPr>
        <xdr:cNvSpPr txBox="1">
          <a:spLocks noChangeArrowheads="1"/>
        </xdr:cNvSpPr>
      </xdr:nvSpPr>
      <xdr:spPr bwMode="auto">
        <a:xfrm>
          <a:off x="1162050" y="7696200"/>
          <a:ext cx="7658100" cy="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just" rtl="0">
            <a:defRPr sz="1000"/>
          </a:pPr>
          <a:r>
            <a:rPr lang="es-ES" sz="900" b="0" i="0" strike="noStrike">
              <a:solidFill>
                <a:srgbClr val="993300"/>
              </a:solidFill>
              <a:latin typeface="Arial"/>
              <a:cs typeface="Arial"/>
            </a:rPr>
            <a:t>Defina la cantidad, o porcentaje, que desea establecer para cubrir posibles imprevistos, como pueden ser: impagos de clientes, reparaciones, responsabilidades civiles, etc.</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247650</xdr:colOff>
      <xdr:row>257</xdr:row>
      <xdr:rowOff>9525</xdr:rowOff>
    </xdr:from>
    <xdr:to>
      <xdr:col>16</xdr:col>
      <xdr:colOff>714375</xdr:colOff>
      <xdr:row>265</xdr:row>
      <xdr:rowOff>19050</xdr:rowOff>
    </xdr:to>
    <xdr:sp macro="" textlink="">
      <xdr:nvSpPr>
        <xdr:cNvPr id="17412" name="Text Box 4">
          <a:extLst>
            <a:ext uri="{FF2B5EF4-FFF2-40B4-BE49-F238E27FC236}">
              <a16:creationId xmlns:a16="http://schemas.microsoft.com/office/drawing/2014/main" id="{2F55C326-9E1E-42C4-89AF-7B53C5B7AF86}"/>
            </a:ext>
          </a:extLst>
        </xdr:cNvPr>
        <xdr:cNvSpPr txBox="1">
          <a:spLocks noChangeArrowheads="1"/>
        </xdr:cNvSpPr>
      </xdr:nvSpPr>
      <xdr:spPr bwMode="auto">
        <a:xfrm>
          <a:off x="10525125" y="44481750"/>
          <a:ext cx="3514725" cy="13716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just" rtl="0">
            <a:defRPr sz="1000"/>
          </a:pPr>
          <a:r>
            <a:rPr lang="es-ES" sz="1000" b="0" i="1" strike="noStrike">
              <a:solidFill>
                <a:srgbClr val="993300"/>
              </a:solidFill>
              <a:latin typeface="Arial"/>
              <a:cs typeface="Arial"/>
            </a:rPr>
            <a:t> </a:t>
          </a:r>
        </a:p>
        <a:p>
          <a:pPr algn="just" rtl="0">
            <a:defRPr sz="1000"/>
          </a:pPr>
          <a:endParaRPr lang="es-ES" sz="1000" b="0" i="1" strike="noStrike">
            <a:solidFill>
              <a:srgbClr val="993300"/>
            </a:solidFill>
            <a:latin typeface="Arial"/>
            <a:cs typeface="Arial"/>
          </a:endParaRPr>
        </a:p>
        <a:p>
          <a:pPr algn="just" rtl="0">
            <a:defRPr sz="1000"/>
          </a:pPr>
          <a:endParaRPr lang="es-ES" sz="1000" b="0" i="1" strike="noStrike">
            <a:solidFill>
              <a:srgbClr val="9933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sites.google.com/site/secotdelegacionmadrid/estudio-economico-financiero"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9"/>
  <dimension ref="A7:M79"/>
  <sheetViews>
    <sheetView topLeftCell="A40" workbookViewId="0">
      <selection activeCell="N58" sqref="N58"/>
    </sheetView>
  </sheetViews>
  <sheetFormatPr baseColWidth="10" defaultColWidth="9.140625" defaultRowHeight="12.75" x14ac:dyDescent="0.2"/>
  <cols>
    <col min="1" max="2" width="11.42578125" customWidth="1"/>
    <col min="3" max="3" width="30.85546875" style="707" customWidth="1"/>
    <col min="4" max="5" width="11.42578125" customWidth="1"/>
    <col min="6" max="6" width="13.140625" customWidth="1"/>
    <col min="7" max="8" width="11.42578125" customWidth="1"/>
    <col min="9" max="9" width="13" customWidth="1"/>
    <col min="10" max="11" width="11.42578125" customWidth="1"/>
    <col min="12" max="12" width="13.42578125" customWidth="1"/>
    <col min="13" max="256" width="11.42578125" customWidth="1"/>
  </cols>
  <sheetData>
    <row r="7" spans="2:6" x14ac:dyDescent="0.2">
      <c r="B7" t="s">
        <v>0</v>
      </c>
    </row>
    <row r="9" spans="2:6" x14ac:dyDescent="0.2">
      <c r="C9" s="707" t="s">
        <v>1</v>
      </c>
      <c r="D9" s="532">
        <f>'Datos generales'!D30</f>
        <v>0.15</v>
      </c>
      <c r="E9" s="532">
        <f>'Datos generales'!E30</f>
        <v>0.15</v>
      </c>
      <c r="F9" s="532">
        <f>'Datos generales'!F30</f>
        <v>0.25</v>
      </c>
    </row>
    <row r="10" spans="2:6" x14ac:dyDescent="0.2">
      <c r="C10" s="707" t="s">
        <v>2</v>
      </c>
      <c r="D10" s="532">
        <f>'Datos generales'!G30</f>
        <v>0.18</v>
      </c>
    </row>
    <row r="13" spans="2:6" x14ac:dyDescent="0.2">
      <c r="D13" s="709" t="s">
        <v>3</v>
      </c>
      <c r="E13" s="709" t="s">
        <v>4</v>
      </c>
      <c r="F13" s="709" t="s">
        <v>5</v>
      </c>
    </row>
    <row r="14" spans="2:6" x14ac:dyDescent="0.2">
      <c r="C14" s="708" t="s">
        <v>6</v>
      </c>
      <c r="D14" s="710">
        <f ca="1">'CUENTA DE RESULTADOS'!D31</f>
        <v>0</v>
      </c>
      <c r="E14" s="710">
        <f ca="1">'CUENTA DE RESULTADOS'!E31</f>
        <v>0</v>
      </c>
      <c r="F14" s="710">
        <f ca="1">'CUENTA DE RESULTADOS'!F31</f>
        <v>0</v>
      </c>
    </row>
    <row r="15" spans="2:6" ht="38.25" x14ac:dyDescent="0.2">
      <c r="C15" s="708" t="s">
        <v>7</v>
      </c>
      <c r="D15" s="711">
        <f ca="1">D14*$D$9</f>
        <v>0</v>
      </c>
      <c r="E15" s="711">
        <f ca="1">E14*$E$9</f>
        <v>0</v>
      </c>
      <c r="F15" s="711">
        <f ca="1">F14*$F$9</f>
        <v>0</v>
      </c>
    </row>
    <row r="16" spans="2:6" x14ac:dyDescent="0.2">
      <c r="C16" s="708"/>
      <c r="D16" s="711"/>
      <c r="E16" s="711"/>
      <c r="F16" s="711"/>
    </row>
    <row r="17" spans="2:6" ht="25.5" x14ac:dyDescent="0.2">
      <c r="C17" s="708" t="s">
        <v>8</v>
      </c>
      <c r="D17" s="712"/>
      <c r="E17" s="711">
        <f ca="1">IF(D19&lt;0,D19,0)</f>
        <v>0</v>
      </c>
      <c r="F17" s="711">
        <f ca="1">IF(E19&lt;0,E19,0)</f>
        <v>0</v>
      </c>
    </row>
    <row r="18" spans="2:6" x14ac:dyDescent="0.2">
      <c r="C18" s="708"/>
      <c r="D18" s="711"/>
      <c r="E18" s="711"/>
      <c r="F18" s="713"/>
    </row>
    <row r="19" spans="2:6" x14ac:dyDescent="0.2">
      <c r="C19" s="714" t="s">
        <v>9</v>
      </c>
      <c r="D19" s="711">
        <f ca="1">D15+D17</f>
        <v>0</v>
      </c>
      <c r="E19" s="711">
        <f ca="1">E15+E17</f>
        <v>0</v>
      </c>
      <c r="F19" s="711">
        <f ca="1">F15+F17</f>
        <v>0</v>
      </c>
    </row>
    <row r="20" spans="2:6" x14ac:dyDescent="0.2">
      <c r="C20" s="708"/>
      <c r="D20" s="710"/>
      <c r="E20" s="710"/>
      <c r="F20" s="710"/>
    </row>
    <row r="21" spans="2:6" x14ac:dyDescent="0.2">
      <c r="C21" s="708" t="s">
        <v>10</v>
      </c>
      <c r="D21" s="715"/>
      <c r="E21" s="715"/>
      <c r="F21" s="710">
        <f ca="1">IF(D15&gt;0,D15*D10,0)</f>
        <v>0</v>
      </c>
    </row>
    <row r="22" spans="2:6" ht="25.5" x14ac:dyDescent="0.2">
      <c r="C22" s="708" t="s">
        <v>11</v>
      </c>
      <c r="D22" s="715"/>
      <c r="E22" s="710">
        <f ca="1">IF(D19&gt;0,D19,0)</f>
        <v>0</v>
      </c>
      <c r="F22" s="710">
        <f ca="1">IF(E19&gt;0,E19,0)-E28-F21</f>
        <v>0</v>
      </c>
    </row>
    <row r="23" spans="2:6" x14ac:dyDescent="0.2">
      <c r="C23" s="708" t="s">
        <v>12</v>
      </c>
      <c r="D23" s="715"/>
      <c r="E23" s="710">
        <f ca="1">IF(D15&gt;0,D15*D10,0)</f>
        <v>0</v>
      </c>
      <c r="F23" s="710">
        <f ca="1">IF(E15&gt;0,E15*D10,0)</f>
        <v>0</v>
      </c>
    </row>
    <row r="24" spans="2:6" x14ac:dyDescent="0.2">
      <c r="C24" s="708" t="s">
        <v>13</v>
      </c>
      <c r="D24" s="715"/>
      <c r="E24" s="710">
        <f ca="1">IF(D15&gt;0,D15*D10,0)</f>
        <v>0</v>
      </c>
      <c r="F24" s="710">
        <f ca="1">IF(E15&gt;0,E15*D10,0)</f>
        <v>0</v>
      </c>
    </row>
    <row r="25" spans="2:6" x14ac:dyDescent="0.2">
      <c r="C25" s="708"/>
      <c r="D25" s="710"/>
      <c r="E25" s="710"/>
      <c r="F25" s="710"/>
    </row>
    <row r="26" spans="2:6" ht="63.75" x14ac:dyDescent="0.2">
      <c r="C26" s="708" t="s">
        <v>14</v>
      </c>
      <c r="D26" s="710">
        <f ca="1">IF(D15&lt;0,D15*-1,0)</f>
        <v>0</v>
      </c>
      <c r="E26" s="710">
        <f ca="1">IF(E15&lt;0,E15*-1,0)</f>
        <v>0</v>
      </c>
      <c r="F26" s="710">
        <f ca="1">IF(F15&lt;0,F15*-1,0)</f>
        <v>0</v>
      </c>
    </row>
    <row r="27" spans="2:6" ht="63.75" x14ac:dyDescent="0.2">
      <c r="C27" s="1205" t="s">
        <v>15</v>
      </c>
      <c r="D27" s="710">
        <f ca="1">D26</f>
        <v>0</v>
      </c>
      <c r="E27" s="710">
        <f ca="1">IF(D27-E15&gt;0,D27-E15,0)</f>
        <v>0</v>
      </c>
      <c r="F27" s="710">
        <f ca="1">IF(E27-F15&gt;0,E27-F15,0)</f>
        <v>0</v>
      </c>
    </row>
    <row r="28" spans="2:6" ht="51" x14ac:dyDescent="0.2">
      <c r="B28" t="s">
        <v>16</v>
      </c>
      <c r="C28" s="708" t="s">
        <v>17</v>
      </c>
      <c r="D28" s="715"/>
      <c r="E28" s="710">
        <f ca="1">SUM(E23:E24)</f>
        <v>0</v>
      </c>
      <c r="F28" s="710">
        <f ca="1">SUM(F23:F24)</f>
        <v>0</v>
      </c>
    </row>
    <row r="29" spans="2:6" ht="38.25" x14ac:dyDescent="0.2">
      <c r="B29" t="s">
        <v>18</v>
      </c>
      <c r="C29" s="708" t="s">
        <v>19</v>
      </c>
      <c r="D29" s="710">
        <f ca="1">IF(D19&gt;0,D19,0)</f>
        <v>0</v>
      </c>
      <c r="E29" s="710">
        <f ca="1">IF(E19&gt;0,E19,0)</f>
        <v>0</v>
      </c>
      <c r="F29" s="710">
        <f ca="1">IF(F19&gt;0,F19,0)</f>
        <v>0</v>
      </c>
    </row>
    <row r="32" spans="2:6" x14ac:dyDescent="0.2">
      <c r="B32" t="s">
        <v>20</v>
      </c>
    </row>
    <row r="34" spans="2:13" x14ac:dyDescent="0.2">
      <c r="D34" s="1285" t="s">
        <v>21</v>
      </c>
      <c r="E34" s="1285"/>
      <c r="F34" s="1285"/>
      <c r="G34" s="1285" t="s">
        <v>4</v>
      </c>
      <c r="H34" s="1285"/>
      <c r="I34" s="1285"/>
      <c r="J34" s="1285" t="s">
        <v>5</v>
      </c>
      <c r="K34" s="1285"/>
      <c r="L34" s="1285"/>
    </row>
    <row r="35" spans="2:13" x14ac:dyDescent="0.2">
      <c r="C35" s="707" t="s">
        <v>1</v>
      </c>
      <c r="D35" s="811">
        <f>'Datos generales'!E36</f>
        <v>0</v>
      </c>
      <c r="E35" s="109"/>
      <c r="F35" s="109"/>
      <c r="G35" s="811">
        <f>'Datos generales'!G36</f>
        <v>0</v>
      </c>
      <c r="H35" s="109"/>
      <c r="I35" s="109"/>
      <c r="J35" s="811">
        <f>'Datos generales'!I36</f>
        <v>0</v>
      </c>
      <c r="K35" s="109"/>
      <c r="L35" s="109"/>
    </row>
    <row r="36" spans="2:13" x14ac:dyDescent="0.2">
      <c r="C36" s="707" t="s">
        <v>22</v>
      </c>
      <c r="D36" s="811">
        <f>IF(D35=0,0,'Datos generales'!J36)</f>
        <v>0</v>
      </c>
      <c r="E36" s="109"/>
      <c r="F36" s="109"/>
      <c r="G36" s="811">
        <f>IF(G35=0,0,'Datos generales'!J36)</f>
        <v>0</v>
      </c>
      <c r="H36" s="109"/>
      <c r="I36" s="109"/>
      <c r="J36" s="811">
        <f>IF(J35=0,0,'Datos generales'!J36)</f>
        <v>0</v>
      </c>
      <c r="K36" s="109"/>
      <c r="L36" s="109"/>
    </row>
    <row r="38" spans="2:13" ht="21" customHeight="1" x14ac:dyDescent="0.2">
      <c r="D38" s="814" t="s">
        <v>6</v>
      </c>
      <c r="E38" s="814" t="s">
        <v>23</v>
      </c>
      <c r="F38" s="814" t="s">
        <v>24</v>
      </c>
      <c r="G38" s="814" t="s">
        <v>6</v>
      </c>
      <c r="H38" s="814" t="s">
        <v>25</v>
      </c>
      <c r="I38" s="814" t="s">
        <v>24</v>
      </c>
      <c r="J38" s="814" t="s">
        <v>6</v>
      </c>
      <c r="K38" s="814" t="s">
        <v>25</v>
      </c>
      <c r="L38" s="814" t="s">
        <v>24</v>
      </c>
    </row>
    <row r="39" spans="2:13" x14ac:dyDescent="0.2">
      <c r="C39" s="707" t="s">
        <v>26</v>
      </c>
      <c r="D39" s="812">
        <f ca="1">SUM('CUENTA DE RESULTADOS'!D127:G127)</f>
        <v>0</v>
      </c>
      <c r="E39" s="812">
        <v>0</v>
      </c>
      <c r="F39" s="812">
        <f ca="1">IF(D39*D36&lt;0,0,D39*D36)</f>
        <v>0</v>
      </c>
      <c r="G39" s="812">
        <f ca="1">SUM('CUENTA DE RESULTADOS'!D205:F205)</f>
        <v>0</v>
      </c>
      <c r="H39" s="812">
        <v>0</v>
      </c>
      <c r="I39" s="812">
        <f ca="1">IF(G39*G36&lt;0,0,G39*G36)</f>
        <v>0</v>
      </c>
      <c r="J39" s="812">
        <f ca="1">SUM('CUENTA DE RESULTADOS'!D283:F283)</f>
        <v>0</v>
      </c>
      <c r="K39" s="812">
        <v>0</v>
      </c>
      <c r="L39" s="812">
        <f ca="1">IF(J39*J36&lt;0,0,J39*J36)</f>
        <v>0</v>
      </c>
    </row>
    <row r="40" spans="2:13" x14ac:dyDescent="0.2">
      <c r="C40" s="707" t="s">
        <v>27</v>
      </c>
      <c r="D40" s="812">
        <f ca="1">SUM('CUENTA DE RESULTADOS'!D127:J127)</f>
        <v>0</v>
      </c>
      <c r="E40" s="812">
        <f ca="1">F39</f>
        <v>0</v>
      </c>
      <c r="F40" s="812">
        <f ca="1">IF((D40*D36)-E40&lt;0,0,(D40*D36)-E40)</f>
        <v>0</v>
      </c>
      <c r="G40" s="812">
        <f ca="1">SUM('CUENTA DE RESULTADOS'!D205:I205)</f>
        <v>0</v>
      </c>
      <c r="H40" s="812">
        <f ca="1">I39</f>
        <v>0</v>
      </c>
      <c r="I40" s="812">
        <f ca="1">IF((G40*G36)-H40&lt;0,0,(G40*G36)-H40)</f>
        <v>0</v>
      </c>
      <c r="J40" s="812">
        <f ca="1">SUM('CUENTA DE RESULTADOS'!D283:L283)</f>
        <v>0</v>
      </c>
      <c r="K40" s="812">
        <f ca="1">L39</f>
        <v>0</v>
      </c>
      <c r="L40" s="812">
        <f ca="1">IF((J40*J36)-K40&lt;0,0,(J40*J36)-K40)</f>
        <v>0</v>
      </c>
    </row>
    <row r="41" spans="2:13" x14ac:dyDescent="0.2">
      <c r="C41" s="707" t="s">
        <v>28</v>
      </c>
      <c r="D41" s="812">
        <f ca="1">SUM('CUENTA DE RESULTADOS'!D127:M127)</f>
        <v>0</v>
      </c>
      <c r="E41" s="812">
        <f ca="1">E40+F40</f>
        <v>0</v>
      </c>
      <c r="F41" s="812">
        <f ca="1">IF((D41*D36)-E41&lt;0,0,(D41*D36)-E41)</f>
        <v>0</v>
      </c>
      <c r="G41" s="812">
        <f ca="1">SUM('CUENTA DE RESULTADOS'!D205:L205)</f>
        <v>0</v>
      </c>
      <c r="H41" s="812">
        <f ca="1">H40+I40</f>
        <v>0</v>
      </c>
      <c r="I41" s="812">
        <f ca="1">IF((G41*G36)-H41&lt;0,0,(G41*G36)-H41)</f>
        <v>0</v>
      </c>
      <c r="J41" s="812">
        <f ca="1">SUM('CUENTA DE RESULTADOS'!D283:L283)</f>
        <v>0</v>
      </c>
      <c r="K41" s="812">
        <f ca="1">K40+L40</f>
        <v>0</v>
      </c>
      <c r="L41" s="812">
        <f ca="1">IF((J41*J36)-K41&lt;0,0,(J41*J36)-K41)</f>
        <v>0</v>
      </c>
    </row>
    <row r="42" spans="2:13" x14ac:dyDescent="0.2">
      <c r="C42" s="707" t="s">
        <v>29</v>
      </c>
      <c r="D42" s="812">
        <f ca="1">SUM('CUENTA DE RESULTADOS'!D127:Q127)</f>
        <v>0</v>
      </c>
      <c r="E42" s="812">
        <f ca="1">E41+F41</f>
        <v>0</v>
      </c>
      <c r="F42" s="812">
        <f ca="1">IF((D42*D36)-E42&lt;0,0,(D42*D36)-E42)</f>
        <v>0</v>
      </c>
      <c r="G42" s="812">
        <f ca="1">SUM('CUENTA DE RESULTADOS'!D205:P205)</f>
        <v>0</v>
      </c>
      <c r="H42" s="812">
        <f ca="1">H41+I41</f>
        <v>0</v>
      </c>
      <c r="I42" s="812">
        <f ca="1">IF((G42*G36)-H42&lt;0,0,(G42*G36)-H42)</f>
        <v>0</v>
      </c>
      <c r="J42" s="812">
        <f ca="1">SUM('CUENTA DE RESULTADOS'!D283:P283)</f>
        <v>0</v>
      </c>
      <c r="K42" s="812">
        <f ca="1">K41+L41</f>
        <v>0</v>
      </c>
      <c r="L42" s="813">
        <f ca="1">IF((J42*J36)-K42&lt;0,0,(J42*J36)-K42)</f>
        <v>0</v>
      </c>
      <c r="M42" s="29"/>
    </row>
    <row r="43" spans="2:13" ht="13.5" thickBot="1" x14ac:dyDescent="0.25">
      <c r="D43" s="29"/>
      <c r="E43" s="29"/>
      <c r="F43" s="29"/>
      <c r="G43" s="29"/>
      <c r="H43" s="29"/>
      <c r="I43" s="29"/>
      <c r="J43" s="29"/>
      <c r="K43" s="29"/>
      <c r="L43" s="29"/>
      <c r="M43" s="29"/>
    </row>
    <row r="44" spans="2:13" ht="25.5" customHeight="1" x14ac:dyDescent="0.2">
      <c r="C44" s="707" t="s">
        <v>30</v>
      </c>
      <c r="D44" s="812">
        <f ca="1">D42</f>
        <v>0</v>
      </c>
      <c r="E44" s="1206">
        <f ca="1">E42+F42</f>
        <v>0</v>
      </c>
      <c r="F44" s="1208">
        <f ca="1">(D44*D35)-E44</f>
        <v>0</v>
      </c>
      <c r="G44" s="1207">
        <f ca="1">G42</f>
        <v>0</v>
      </c>
      <c r="H44" s="1206">
        <f ca="1">H42+I42</f>
        <v>0</v>
      </c>
      <c r="I44" s="1208">
        <f ca="1">(G44*G35)-H44</f>
        <v>0</v>
      </c>
      <c r="J44" s="1207">
        <f ca="1">J42</f>
        <v>0</v>
      </c>
      <c r="K44" s="812">
        <f ca="1">K42+L42</f>
        <v>0</v>
      </c>
      <c r="L44" s="813">
        <f ca="1">(J44*J35)-K44</f>
        <v>0</v>
      </c>
    </row>
    <row r="45" spans="2:13" ht="13.5" thickBot="1" x14ac:dyDescent="0.25">
      <c r="F45" s="1209" t="s">
        <v>31</v>
      </c>
      <c r="I45" s="1209" t="s">
        <v>31</v>
      </c>
    </row>
    <row r="47" spans="2:13" x14ac:dyDescent="0.2">
      <c r="B47" t="s">
        <v>32</v>
      </c>
    </row>
    <row r="49" spans="2:13" x14ac:dyDescent="0.2">
      <c r="F49" s="815" t="s">
        <v>21</v>
      </c>
      <c r="I49" s="815" t="s">
        <v>33</v>
      </c>
      <c r="L49" s="815" t="s">
        <v>34</v>
      </c>
    </row>
    <row r="50" spans="2:13" x14ac:dyDescent="0.2">
      <c r="C50" s="707" t="s">
        <v>35</v>
      </c>
      <c r="F50" s="812">
        <f>IF(D35=0,'Datos generales'!D36,0)</f>
        <v>0</v>
      </c>
      <c r="I50" s="812">
        <f>IF(G35=0,'Datos generales'!F36,0)</f>
        <v>0</v>
      </c>
      <c r="L50" s="812">
        <f>IF(J35=0,'Datos generales'!H36,0)</f>
        <v>0</v>
      </c>
    </row>
    <row r="51" spans="2:13" x14ac:dyDescent="0.2">
      <c r="F51" s="812"/>
      <c r="I51" s="812"/>
      <c r="L51" s="812"/>
    </row>
    <row r="52" spans="2:13" x14ac:dyDescent="0.2">
      <c r="C52" s="707" t="s">
        <v>26</v>
      </c>
      <c r="F52" s="812">
        <f>IF('Datos generales'!$O$10&gt;4,0,F50/4)</f>
        <v>0</v>
      </c>
      <c r="I52" s="812">
        <f>I50/4</f>
        <v>0</v>
      </c>
      <c r="L52" s="812">
        <f>L50/4</f>
        <v>0</v>
      </c>
    </row>
    <row r="53" spans="2:13" x14ac:dyDescent="0.2">
      <c r="C53" s="707" t="s">
        <v>27</v>
      </c>
      <c r="F53" s="812">
        <f>IF('Datos generales'!$O$10&gt;7,0,F50/4)</f>
        <v>0</v>
      </c>
      <c r="I53" s="812">
        <f>I52</f>
        <v>0</v>
      </c>
      <c r="L53" s="812">
        <f>L52</f>
        <v>0</v>
      </c>
    </row>
    <row r="54" spans="2:13" x14ac:dyDescent="0.2">
      <c r="C54" s="707" t="s">
        <v>28</v>
      </c>
      <c r="F54" s="812">
        <f>IF('Datos generales'!$O$10&gt;10,0,F50/4)</f>
        <v>0</v>
      </c>
      <c r="I54" s="812">
        <f>I53</f>
        <v>0</v>
      </c>
      <c r="L54" s="812">
        <f>L53</f>
        <v>0</v>
      </c>
    </row>
    <row r="55" spans="2:13" x14ac:dyDescent="0.2">
      <c r="C55" s="707" t="s">
        <v>29</v>
      </c>
      <c r="F55" s="812">
        <f>F50/4</f>
        <v>0</v>
      </c>
      <c r="I55" s="812">
        <f>I54</f>
        <v>0</v>
      </c>
      <c r="L55" s="813">
        <f>L54</f>
        <v>0</v>
      </c>
    </row>
    <row r="56" spans="2:13" x14ac:dyDescent="0.2">
      <c r="C56" s="707" t="s">
        <v>36</v>
      </c>
      <c r="F56" s="29">
        <f>SUM(F52:F55)</f>
        <v>0</v>
      </c>
      <c r="I56" s="29">
        <f>SUM(I52:I55)</f>
        <v>0</v>
      </c>
      <c r="L56" s="1210">
        <f>SUM(L52:L55)</f>
        <v>0</v>
      </c>
    </row>
    <row r="57" spans="2:13" x14ac:dyDescent="0.2">
      <c r="F57" s="29"/>
    </row>
    <row r="58" spans="2:13" x14ac:dyDescent="0.2">
      <c r="B58" s="1" t="s">
        <v>37</v>
      </c>
    </row>
    <row r="60" spans="2:13" ht="13.5" thickBot="1" x14ac:dyDescent="0.25">
      <c r="B60" t="s">
        <v>38</v>
      </c>
      <c r="C60" s="707" t="s">
        <v>26</v>
      </c>
      <c r="F60" s="29">
        <f ca="1">F39+F52</f>
        <v>0</v>
      </c>
      <c r="I60" s="29">
        <f ca="1">I39+I52</f>
        <v>0</v>
      </c>
      <c r="L60" s="29">
        <f ca="1">L39+L52</f>
        <v>0</v>
      </c>
    </row>
    <row r="61" spans="2:13" x14ac:dyDescent="0.2">
      <c r="C61" s="707" t="s">
        <v>27</v>
      </c>
      <c r="F61" s="29">
        <f ca="1">F40+F53</f>
        <v>0</v>
      </c>
      <c r="G61" s="818" t="s">
        <v>39</v>
      </c>
      <c r="I61" s="29">
        <f ca="1">I40+I53</f>
        <v>0</v>
      </c>
      <c r="J61" s="818" t="s">
        <v>39</v>
      </c>
      <c r="L61" s="29">
        <f ca="1">L40+L53</f>
        <v>0</v>
      </c>
      <c r="M61" s="818" t="s">
        <v>39</v>
      </c>
    </row>
    <row r="62" spans="2:13" ht="13.5" thickBot="1" x14ac:dyDescent="0.25">
      <c r="C62" s="707" t="s">
        <v>28</v>
      </c>
      <c r="F62" s="29">
        <f ca="1">F41+F54</f>
        <v>0</v>
      </c>
      <c r="G62" s="819">
        <f ca="1">SUM(F60:F62)</f>
        <v>0</v>
      </c>
      <c r="I62" s="29">
        <f ca="1">I41+I54</f>
        <v>0</v>
      </c>
      <c r="J62" s="819">
        <f ca="1">SUM(I60:I62)</f>
        <v>0</v>
      </c>
      <c r="L62" s="29">
        <f ca="1">L41+L54</f>
        <v>0</v>
      </c>
      <c r="M62" s="819">
        <f ca="1">SUM(L60:L62)</f>
        <v>0</v>
      </c>
    </row>
    <row r="63" spans="2:13" x14ac:dyDescent="0.2">
      <c r="C63" s="707" t="s">
        <v>29</v>
      </c>
      <c r="F63" s="29">
        <f ca="1">F42+F55</f>
        <v>0</v>
      </c>
      <c r="I63" s="29">
        <f ca="1">I42+I55</f>
        <v>0</v>
      </c>
      <c r="L63" s="810">
        <f ca="1">L42+L55</f>
        <v>0</v>
      </c>
    </row>
    <row r="64" spans="2:13" x14ac:dyDescent="0.2">
      <c r="F64" s="29"/>
      <c r="I64" s="29"/>
      <c r="L64" s="29"/>
    </row>
    <row r="65" spans="1:12" x14ac:dyDescent="0.2">
      <c r="F65" s="29"/>
      <c r="I65" s="29"/>
      <c r="L65" s="29"/>
    </row>
    <row r="66" spans="1:12" ht="18" x14ac:dyDescent="0.25">
      <c r="A66" s="28" t="s">
        <v>40</v>
      </c>
      <c r="F66" s="29"/>
      <c r="I66" s="29"/>
      <c r="L66" s="29"/>
    </row>
    <row r="67" spans="1:12" ht="13.5" thickBot="1" x14ac:dyDescent="0.25"/>
    <row r="68" spans="1:12" ht="14.25" customHeight="1" thickBot="1" x14ac:dyDescent="0.25">
      <c r="B68" t="s">
        <v>6</v>
      </c>
      <c r="C68" s="1286" t="s">
        <v>41</v>
      </c>
      <c r="D68" s="1287"/>
      <c r="E68" s="1287"/>
      <c r="F68" s="816">
        <f ca="1">D15+F52+F53+F54+F55+(D44*D35)</f>
        <v>0</v>
      </c>
      <c r="G68" s="817"/>
      <c r="H68" s="817"/>
      <c r="I68" s="816">
        <f ca="1">E15+I50+(G44*G35)</f>
        <v>0</v>
      </c>
      <c r="J68" s="817"/>
      <c r="K68" s="817"/>
      <c r="L68" s="816">
        <f ca="1">F15+L50+(J44*J35)</f>
        <v>0</v>
      </c>
    </row>
    <row r="73" spans="1:12" ht="89.25" x14ac:dyDescent="0.2">
      <c r="B73" t="s">
        <v>42</v>
      </c>
      <c r="C73" s="707" t="s">
        <v>43</v>
      </c>
      <c r="F73" s="29">
        <f ca="1">IF(F68&lt;0,D27+(D44*D35)*-1,0)+G62+D28</f>
        <v>0</v>
      </c>
      <c r="I73" s="29">
        <f ca="1">IF(I68&lt;0,(G44*G35)*-1,0)+J62+E27+E28</f>
        <v>0</v>
      </c>
      <c r="L73" s="29">
        <f ca="1">IF(L68&lt;0,(J44*J35)*-1,0)+M62+F27+F28</f>
        <v>0</v>
      </c>
    </row>
    <row r="76" spans="1:12" ht="63.75" x14ac:dyDescent="0.2">
      <c r="B76" t="s">
        <v>44</v>
      </c>
      <c r="C76" s="707" t="s">
        <v>45</v>
      </c>
      <c r="F76" s="29">
        <f ca="1">IF(F68&lt;0,0,D44*D35)+F56+D29</f>
        <v>0</v>
      </c>
      <c r="I76" s="29">
        <f ca="1">IF(I68&lt;0,0,G44*G35)+I56+E29</f>
        <v>0</v>
      </c>
      <c r="L76" s="29">
        <f ca="1">IF(L68&lt;0,0,J44*J35)+L56+F29</f>
        <v>0</v>
      </c>
    </row>
    <row r="77" spans="1:12" x14ac:dyDescent="0.2">
      <c r="F77" s="29"/>
      <c r="I77" s="29"/>
      <c r="L77" s="29"/>
    </row>
    <row r="78" spans="1:12" x14ac:dyDescent="0.2">
      <c r="F78" s="29"/>
      <c r="I78" s="29"/>
      <c r="L78" s="29"/>
    </row>
    <row r="79" spans="1:12" x14ac:dyDescent="0.2">
      <c r="F79" s="29"/>
      <c r="I79" s="29"/>
      <c r="L79" s="29"/>
    </row>
  </sheetData>
  <sheetProtection password="CC4B" sheet="1" objects="1" scenarios="1"/>
  <mergeCells count="4">
    <mergeCell ref="D34:F34"/>
    <mergeCell ref="G34:I34"/>
    <mergeCell ref="J34:L34"/>
    <mergeCell ref="C68:E68"/>
  </mergeCells>
  <phoneticPr fontId="68" type="noConversion"/>
  <pageMargins left="0.75" right="0.75" top="1" bottom="1" header="0" footer="0"/>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5">
    <tabColor theme="4" tint="0.39997558519241921"/>
    <pageSetUpPr fitToPage="1"/>
  </sheetPr>
  <dimension ref="A1:P127"/>
  <sheetViews>
    <sheetView showGridLines="0" zoomScale="85" zoomScaleNormal="85" workbookViewId="0">
      <selection activeCell="O25" sqref="O25"/>
    </sheetView>
  </sheetViews>
  <sheetFormatPr baseColWidth="10" defaultColWidth="11.42578125" defaultRowHeight="12.75" x14ac:dyDescent="0.2"/>
  <cols>
    <col min="1" max="1" width="11.42578125" style="88"/>
    <col min="2" max="2" width="41" style="88" customWidth="1"/>
    <col min="3" max="3" width="15.7109375" style="88" customWidth="1"/>
    <col min="4" max="4" width="8.42578125" style="88" customWidth="1"/>
    <col min="5" max="5" width="15.7109375" style="88" customWidth="1"/>
    <col min="6" max="6" width="9" style="88" customWidth="1"/>
    <col min="7" max="7" width="15.7109375" style="101" customWidth="1"/>
    <col min="8" max="8" width="9.7109375" style="88" customWidth="1"/>
    <col min="9" max="9" width="15.7109375" style="88" customWidth="1"/>
    <col min="10" max="10" width="9.42578125" style="88" customWidth="1"/>
    <col min="11" max="11" width="2.7109375" style="88" customWidth="1"/>
    <col min="12" max="12" width="3.140625" style="88" customWidth="1"/>
    <col min="13" max="13" width="10.85546875" style="88" hidden="1" customWidth="1"/>
    <col min="14" max="14" width="6.85546875" style="88" hidden="1" customWidth="1"/>
    <col min="15" max="15" width="35.140625" style="88" customWidth="1"/>
    <col min="16" max="16384" width="11.42578125" style="88"/>
  </cols>
  <sheetData>
    <row r="1" spans="1:16" ht="9.75" customHeight="1" x14ac:dyDescent="0.2"/>
    <row r="2" spans="1:16" ht="13.5" customHeight="1" x14ac:dyDescent="0.2"/>
    <row r="3" spans="1:16" ht="87" customHeight="1" x14ac:dyDescent="0.2">
      <c r="B3" s="1377" t="s">
        <v>471</v>
      </c>
      <c r="C3" s="1377"/>
      <c r="D3" s="1377"/>
      <c r="E3" s="1377"/>
      <c r="F3" s="1377"/>
      <c r="G3" s="1377"/>
      <c r="H3" s="1377"/>
      <c r="I3" s="1377"/>
      <c r="J3" s="1377"/>
    </row>
    <row r="6" spans="1:16" x14ac:dyDescent="0.2">
      <c r="A6"/>
      <c r="B6"/>
      <c r="C6"/>
      <c r="D6"/>
      <c r="E6"/>
      <c r="F6" s="58"/>
      <c r="G6"/>
      <c r="H6" s="9"/>
      <c r="I6" s="9"/>
      <c r="J6" s="9"/>
      <c r="K6" s="9"/>
    </row>
    <row r="7" spans="1:16" ht="20.25" x14ac:dyDescent="0.3">
      <c r="A7"/>
      <c r="B7" s="1360" t="str">
        <f>'Datos generales'!C6</f>
        <v>Nombre de la empresa</v>
      </c>
      <c r="C7" s="1360"/>
      <c r="D7" s="1360"/>
      <c r="E7" s="1360"/>
      <c r="F7" s="1360"/>
      <c r="G7" s="1360"/>
      <c r="H7" s="9"/>
      <c r="I7" s="9"/>
      <c r="J7" s="9"/>
      <c r="K7" s="9"/>
    </row>
    <row r="8" spans="1:16" x14ac:dyDescent="0.2">
      <c r="A8"/>
      <c r="B8"/>
      <c r="C8"/>
      <c r="D8" s="9"/>
      <c r="E8" s="9"/>
      <c r="F8" s="9"/>
      <c r="G8" s="9"/>
      <c r="H8" s="9"/>
      <c r="I8" s="9"/>
      <c r="J8" s="9"/>
      <c r="K8" s="9"/>
    </row>
    <row r="9" spans="1:16" ht="15.75" x14ac:dyDescent="0.25">
      <c r="B9" s="138" t="s">
        <v>472</v>
      </c>
      <c r="C9" s="86"/>
      <c r="D9" s="92"/>
      <c r="E9" s="86"/>
      <c r="F9" s="92"/>
      <c r="G9" s="86"/>
      <c r="H9" s="95"/>
      <c r="I9" s="87"/>
      <c r="J9" s="95"/>
      <c r="K9" s="95"/>
    </row>
    <row r="10" spans="1:16" ht="15.75" x14ac:dyDescent="0.25">
      <c r="B10" s="89"/>
      <c r="C10" s="90"/>
      <c r="D10" s="93"/>
      <c r="E10" s="90"/>
      <c r="F10" s="93"/>
      <c r="G10" s="90"/>
      <c r="H10" s="95"/>
      <c r="I10" s="87"/>
      <c r="J10" s="95"/>
      <c r="K10" s="95"/>
    </row>
    <row r="11" spans="1:16" ht="15.75" x14ac:dyDescent="0.25">
      <c r="B11" s="87"/>
      <c r="C11" s="1380" t="s">
        <v>412</v>
      </c>
      <c r="D11" s="1380"/>
      <c r="E11" s="1380" t="s">
        <v>95</v>
      </c>
      <c r="F11" s="1380"/>
      <c r="G11" s="1380" t="s">
        <v>96</v>
      </c>
      <c r="H11" s="1380"/>
      <c r="I11" s="1380" t="s">
        <v>97</v>
      </c>
      <c r="J11" s="1380"/>
      <c r="K11" s="1248"/>
    </row>
    <row r="12" spans="1:16" ht="18.75" thickBot="1" x14ac:dyDescent="0.3">
      <c r="B12" s="313" t="s">
        <v>473</v>
      </c>
      <c r="C12" s="337" t="s">
        <v>474</v>
      </c>
      <c r="D12" s="338" t="s">
        <v>100</v>
      </c>
      <c r="E12" s="337" t="s">
        <v>474</v>
      </c>
      <c r="F12" s="338" t="s">
        <v>100</v>
      </c>
      <c r="G12" s="337" t="s">
        <v>474</v>
      </c>
      <c r="H12" s="338" t="s">
        <v>100</v>
      </c>
      <c r="I12" s="337" t="s">
        <v>474</v>
      </c>
      <c r="J12" s="338" t="s">
        <v>100</v>
      </c>
      <c r="K12" s="1179"/>
    </row>
    <row r="13" spans="1:16" x14ac:dyDescent="0.2">
      <c r="B13" s="731" t="s">
        <v>475</v>
      </c>
      <c r="C13" s="321"/>
      <c r="D13" s="326"/>
      <c r="E13" s="321"/>
      <c r="F13" s="326"/>
      <c r="G13" s="322"/>
      <c r="H13" s="326"/>
      <c r="I13" s="321"/>
      <c r="J13" s="323"/>
    </row>
    <row r="14" spans="1:16" x14ac:dyDescent="0.2">
      <c r="B14" s="732" t="s">
        <v>476</v>
      </c>
      <c r="C14" s="316">
        <f>'PRESUPUESTO INICIAL INVER_FINAN'!F31</f>
        <v>0</v>
      </c>
      <c r="D14" s="327">
        <f>IF(ISERROR(C14/C$31)=TRUE,0,C14/C$31)</f>
        <v>0</v>
      </c>
      <c r="E14" s="316">
        <f>'Plan de inversión'!D12-'Plan de inversión'!D13</f>
        <v>0</v>
      </c>
      <c r="F14" s="327">
        <f ca="1">IF(ISERROR(E14/E$31)=TRUE,0,E14/E$31)</f>
        <v>0</v>
      </c>
      <c r="G14" s="317">
        <f>'Plan de inversión'!E12-'Plan de inversión'!E13</f>
        <v>0</v>
      </c>
      <c r="H14" s="327">
        <f ca="1">IF(ISERROR(G14/G$31)=TRUE,0,G14/G$31)</f>
        <v>0</v>
      </c>
      <c r="I14" s="316">
        <f>'Plan de inversión'!F12-'Plan de inversión'!F13</f>
        <v>0</v>
      </c>
      <c r="J14" s="1143">
        <f ca="1">IF(ISERROR(I14/I$31)=TRUE,0,I14/I$31)</f>
        <v>0</v>
      </c>
      <c r="K14" s="309"/>
      <c r="P14" s="88" t="s">
        <v>477</v>
      </c>
    </row>
    <row r="15" spans="1:16" x14ac:dyDescent="0.2">
      <c r="B15" s="732" t="s">
        <v>478</v>
      </c>
      <c r="C15" s="316">
        <f>'PRESUPUESTO INICIAL INVER_FINAN'!F45</f>
        <v>0</v>
      </c>
      <c r="D15" s="327">
        <f>IF(ISERROR(C15/C$31)=TRUE,0,C15/C$31)</f>
        <v>0</v>
      </c>
      <c r="E15" s="316">
        <f>'Plan de inversión'!D10-'Plan de inversión'!D11</f>
        <v>0</v>
      </c>
      <c r="F15" s="327">
        <f ca="1">IF(ISERROR(E15/E$31)=TRUE,0,E15/E$31)</f>
        <v>0</v>
      </c>
      <c r="G15" s="317">
        <f>'Plan de inversión'!E10-'Plan de inversión'!E11</f>
        <v>0</v>
      </c>
      <c r="H15" s="327">
        <f ca="1">IF(ISERROR(G15/G$31)=TRUE,0,G15/G$31)</f>
        <v>0</v>
      </c>
      <c r="I15" s="316">
        <f>'Plan de inversión'!F10-'Plan de inversión'!F11</f>
        <v>0</v>
      </c>
      <c r="J15" s="1143">
        <f ca="1">IF(ISERROR(I15/I$31)=TRUE,0,I15/I$31)</f>
        <v>0</v>
      </c>
      <c r="K15" s="309"/>
    </row>
    <row r="16" spans="1:16" x14ac:dyDescent="0.2">
      <c r="B16" s="733" t="s">
        <v>479</v>
      </c>
      <c r="C16" s="316">
        <v>0</v>
      </c>
      <c r="D16" s="327"/>
      <c r="E16" s="316">
        <v>0</v>
      </c>
      <c r="F16" s="327"/>
      <c r="G16" s="317">
        <v>0</v>
      </c>
      <c r="H16" s="327"/>
      <c r="I16" s="316">
        <v>0</v>
      </c>
      <c r="J16" s="1143"/>
      <c r="K16" s="309"/>
    </row>
    <row r="17" spans="2:11" x14ac:dyDescent="0.2">
      <c r="B17" s="733" t="s">
        <v>480</v>
      </c>
      <c r="C17" s="316">
        <f>'PRESUPUESTO INICIAL INVER_FINAN'!F51</f>
        <v>0</v>
      </c>
      <c r="D17" s="327">
        <f>IF(ISERROR(C17/C$31)=TRUE,0,C17/C$31)</f>
        <v>0</v>
      </c>
      <c r="E17" s="316">
        <f>'Plan de inversión'!D14</f>
        <v>0</v>
      </c>
      <c r="F17" s="327">
        <f ca="1">IF(ISERROR(E17/E$31)=TRUE,0,E17/E$31)</f>
        <v>0</v>
      </c>
      <c r="G17" s="317">
        <f>'Plan de inversión'!E14</f>
        <v>0</v>
      </c>
      <c r="H17" s="327">
        <f ca="1">IF(ISERROR(G17/G$31)=TRUE,0,G17/G$31)</f>
        <v>0</v>
      </c>
      <c r="I17" s="316">
        <f>'Plan de inversión'!F14</f>
        <v>0</v>
      </c>
      <c r="J17" s="1143">
        <f ca="1">IF(ISERROR(I17/I$31)=TRUE,0,I17/I$31)</f>
        <v>0</v>
      </c>
      <c r="K17" s="309"/>
    </row>
    <row r="18" spans="2:11" x14ac:dyDescent="0.2">
      <c r="B18" s="733" t="s">
        <v>481</v>
      </c>
      <c r="C18" s="333">
        <v>0</v>
      </c>
      <c r="D18" s="335"/>
      <c r="E18" s="333">
        <v>0</v>
      </c>
      <c r="F18" s="335"/>
      <c r="G18" s="564">
        <v>0</v>
      </c>
      <c r="H18" s="335"/>
      <c r="I18" s="333">
        <v>0</v>
      </c>
      <c r="J18" s="1144"/>
      <c r="K18" s="309"/>
    </row>
    <row r="19" spans="2:11" x14ac:dyDescent="0.2">
      <c r="B19" s="732" t="s">
        <v>482</v>
      </c>
      <c r="C19" s="316">
        <v>0</v>
      </c>
      <c r="D19" s="327">
        <f>IF(ISERROR(C19/C$31)=TRUE,0,C19/C$31)</f>
        <v>0</v>
      </c>
      <c r="E19" s="316">
        <v>0</v>
      </c>
      <c r="F19" s="327">
        <f ca="1">IF(ISERROR(E19/E$31)=TRUE,0,E19/E$31)</f>
        <v>0</v>
      </c>
      <c r="G19" s="316">
        <v>0</v>
      </c>
      <c r="H19" s="327">
        <f ca="1">IF(ISERROR(G19/G$31)=TRUE,0,G19/G$31)</f>
        <v>0</v>
      </c>
      <c r="I19" s="316">
        <v>0</v>
      </c>
      <c r="J19" s="1143">
        <f ca="1">IF(ISERROR(I19/I$31)=TRUE,0,I19/I$31)</f>
        <v>0</v>
      </c>
      <c r="K19" s="309"/>
    </row>
    <row r="20" spans="2:11" ht="15.75" x14ac:dyDescent="0.25">
      <c r="B20" s="734" t="s">
        <v>483</v>
      </c>
      <c r="C20" s="310">
        <f>SUM(C14:C19)</f>
        <v>0</v>
      </c>
      <c r="D20" s="328">
        <f>IF(ISERROR(C20/C$31)=TRUE,0,C20/C$31)</f>
        <v>0</v>
      </c>
      <c r="E20" s="310">
        <f>SUM(E14:E19)</f>
        <v>0</v>
      </c>
      <c r="F20" s="328">
        <f ca="1">IF(ISERROR(E20/E$31)=TRUE,0,E20/E$31)</f>
        <v>0</v>
      </c>
      <c r="G20" s="310">
        <f>SUM(G14:G19)</f>
        <v>0</v>
      </c>
      <c r="H20" s="328">
        <f ca="1">IF(ISERROR(G20/G$31)=TRUE,0,G20/G$31)</f>
        <v>0</v>
      </c>
      <c r="I20" s="310">
        <f>SUM(I14:I19)</f>
        <v>0</v>
      </c>
      <c r="J20" s="1145">
        <f ca="1">IF(ISERROR(I20/I$31)=TRUE,0,I20/I$31)</f>
        <v>0</v>
      </c>
      <c r="K20" s="343"/>
    </row>
    <row r="21" spans="2:11" ht="21" customHeight="1" x14ac:dyDescent="0.2">
      <c r="B21" s="735" t="s">
        <v>484</v>
      </c>
      <c r="D21" s="329"/>
      <c r="F21" s="329"/>
      <c r="G21" s="88"/>
      <c r="H21" s="329"/>
      <c r="J21" s="1146"/>
      <c r="K21" s="99"/>
    </row>
    <row r="22" spans="2:11" x14ac:dyDescent="0.2">
      <c r="B22" s="732" t="s">
        <v>485</v>
      </c>
      <c r="C22" s="316">
        <f>IF('Datos generales'!D22&lt;=0,'PRESUPUESTO INICIAL INVER_FINAN'!F81+'PRESUPUESTO INICIAL INVER_FINAN'!O88,'PRESUPUESTO INICIAL INVER_FINAN'!F81)</f>
        <v>0</v>
      </c>
      <c r="D22" s="327">
        <f>IF(ISERROR(C22/C$31)=TRUE,0,C22/C$31)</f>
        <v>0</v>
      </c>
      <c r="E22" s="316">
        <f>IF('Datos generales'!D22&lt;=0, 'Margen B'!P144, 'Margen B'!P143)</f>
        <v>0</v>
      </c>
      <c r="F22" s="327">
        <f ca="1">IF(ISERROR(E22/E$31)=TRUE,0,E22/E$31)</f>
        <v>0</v>
      </c>
      <c r="G22" s="317">
        <f>IF('Datos generales'!D22&lt;=0, 'Margen B'!P202, 'Margen B'!P201)</f>
        <v>0</v>
      </c>
      <c r="H22" s="327">
        <f ca="1">IF(ISERROR(G22/G$31)=TRUE,0,G22/G$31)</f>
        <v>0</v>
      </c>
      <c r="I22" s="316">
        <f>IF('Datos generales'!D22&lt;=0, 'Margen B'!P261, 'Margen B'!P260)</f>
        <v>0</v>
      </c>
      <c r="J22" s="1143">
        <f ca="1">IF(ISERROR(I22/I$31)=TRUE,0,I22/I$31)</f>
        <v>0</v>
      </c>
      <c r="K22" s="309"/>
    </row>
    <row r="23" spans="2:11" x14ac:dyDescent="0.2">
      <c r="B23" s="732" t="s">
        <v>486</v>
      </c>
      <c r="C23" s="318"/>
      <c r="D23" s="804"/>
      <c r="E23" s="318"/>
      <c r="F23" s="804"/>
      <c r="H23" s="804"/>
      <c r="I23" s="318"/>
      <c r="J23" s="1147"/>
      <c r="K23" s="309"/>
    </row>
    <row r="24" spans="2:11" ht="14.25" customHeight="1" x14ac:dyDescent="0.2">
      <c r="B24" s="732" t="s">
        <v>487</v>
      </c>
      <c r="C24" s="316">
        <v>0</v>
      </c>
      <c r="D24" s="327">
        <f>IF(ISERROR(C24/C$31)=TRUE,0,C24/C$31)</f>
        <v>0</v>
      </c>
      <c r="E24" s="316">
        <f ca="1">'Politica Cobr. Pagos'!E25</f>
        <v>0</v>
      </c>
      <c r="F24" s="327">
        <f ca="1">IF(ISERROR(E24/E$31)=TRUE,0,E24/E$31)</f>
        <v>0</v>
      </c>
      <c r="G24" s="317">
        <f ca="1">'Politica Cobr. Pagos'!F25</f>
        <v>0</v>
      </c>
      <c r="H24" s="327">
        <f ca="1">IF(ISERROR(G24/G$31)=TRUE,0,G24/G$31)</f>
        <v>0</v>
      </c>
      <c r="I24" s="316">
        <f ca="1">'Politica Cobr. Pagos'!G25</f>
        <v>0</v>
      </c>
      <c r="J24" s="1143">
        <f ca="1">IF(ISERROR(I24/I$31)=TRUE,0,I24/I$31)</f>
        <v>0</v>
      </c>
      <c r="K24" s="309"/>
    </row>
    <row r="25" spans="2:11" x14ac:dyDescent="0.2">
      <c r="B25" s="732" t="s">
        <v>488</v>
      </c>
      <c r="C25" s="316">
        <f>IF('Datos generales'!D22&lt;=0,0,'PRESUPUESTO INICIAL INVER_FINAN'!O89)</f>
        <v>0</v>
      </c>
      <c r="D25" s="327">
        <f>IF(ISERROR(C25/C$31)=TRUE,0,C25/C$31)</f>
        <v>0</v>
      </c>
      <c r="E25" s="316">
        <f ca="1">IF(TESORERIA!D39&lt;0,-1*(TESORERIA!D39),0)+'Impuesto sociedades'!F73</f>
        <v>0</v>
      </c>
      <c r="F25" s="327">
        <f ca="1">IF(ISERROR(E25/E$31)=TRUE,0,E25/E$31)</f>
        <v>0</v>
      </c>
      <c r="G25" s="317">
        <f ca="1">IF(TESORERIA!E39&lt;0,-1*(TESORERIA!E39),0)+'Impuesto sociedades'!I73</f>
        <v>0</v>
      </c>
      <c r="H25" s="327">
        <f ca="1">IF(ISERROR(G25/G$31)=TRUE,0,G25/G$31)</f>
        <v>0</v>
      </c>
      <c r="I25" s="316">
        <f ca="1">IF(TESORERIA!F39&lt;0,-1*(TESORERIA!F39),0)+'Impuesto sociedades'!L73</f>
        <v>0</v>
      </c>
      <c r="J25" s="1143">
        <f ca="1">IF(ISERROR(I25/I$31)=TRUE,0,I25/I$31)</f>
        <v>0</v>
      </c>
      <c r="K25" s="309"/>
    </row>
    <row r="26" spans="2:11" ht="16.5" customHeight="1" x14ac:dyDescent="0.2">
      <c r="B26" s="732" t="s">
        <v>489</v>
      </c>
      <c r="C26" s="333">
        <v>0</v>
      </c>
      <c r="D26" s="335"/>
      <c r="E26" s="333">
        <v>0</v>
      </c>
      <c r="F26" s="335"/>
      <c r="G26" s="564">
        <v>0</v>
      </c>
      <c r="H26" s="335"/>
      <c r="I26" s="333">
        <v>0</v>
      </c>
      <c r="J26" s="1144"/>
      <c r="K26" s="309"/>
    </row>
    <row r="27" spans="2:11" x14ac:dyDescent="0.2">
      <c r="B27" s="732" t="s">
        <v>490</v>
      </c>
      <c r="C27" s="333">
        <v>0</v>
      </c>
      <c r="D27" s="335"/>
      <c r="E27" s="333">
        <v>0</v>
      </c>
      <c r="F27" s="335"/>
      <c r="G27" s="564">
        <v>0</v>
      </c>
      <c r="H27" s="335"/>
      <c r="I27" s="333">
        <v>0</v>
      </c>
      <c r="J27" s="1144"/>
      <c r="K27" s="309"/>
    </row>
    <row r="28" spans="2:11" x14ac:dyDescent="0.2">
      <c r="B28" s="732" t="s">
        <v>491</v>
      </c>
      <c r="C28" s="318">
        <f>TESORERIA!C34</f>
        <v>0</v>
      </c>
      <c r="D28" s="332">
        <f t="shared" ref="D28:F29" si="0">IF(ISERROR(C28/C$31)=TRUE,0,C28/C$31)</f>
        <v>0</v>
      </c>
      <c r="E28" s="318">
        <f ca="1">TESORERIA!D35</f>
        <v>0</v>
      </c>
      <c r="F28" s="332">
        <f t="shared" ca="1" si="0"/>
        <v>0</v>
      </c>
      <c r="G28" s="318">
        <f ca="1">TESORERIA!E35</f>
        <v>0</v>
      </c>
      <c r="H28" s="332">
        <f ca="1">IF(ISERROR(G28/G$31)=TRUE,0,G28/G$31)</f>
        <v>0</v>
      </c>
      <c r="I28" s="318">
        <f ca="1">TESORERIA!F35</f>
        <v>0</v>
      </c>
      <c r="J28" s="1148">
        <f ca="1">IF(ISERROR(I28/I$31)=TRUE,0,I28/I$31)</f>
        <v>0</v>
      </c>
      <c r="K28" s="309"/>
    </row>
    <row r="29" spans="2:11" ht="15.75" x14ac:dyDescent="0.25">
      <c r="B29" s="734" t="s">
        <v>492</v>
      </c>
      <c r="C29" s="310">
        <f>SUM(C22:C28)</f>
        <v>0</v>
      </c>
      <c r="D29" s="328">
        <f t="shared" si="0"/>
        <v>0</v>
      </c>
      <c r="E29" s="310">
        <f ca="1">SUM(E22:E28)</f>
        <v>0</v>
      </c>
      <c r="F29" s="328">
        <f t="shared" ca="1" si="0"/>
        <v>0</v>
      </c>
      <c r="G29" s="311">
        <f ca="1">SUM(G22:G28)</f>
        <v>0</v>
      </c>
      <c r="H29" s="328">
        <f ca="1">IF(ISERROR(G29/G$31)=TRUE,0,G29/G$31)</f>
        <v>0</v>
      </c>
      <c r="I29" s="310">
        <f ca="1">SUM(I22:I28)</f>
        <v>0</v>
      </c>
      <c r="J29" s="1145">
        <f ca="1">IF(ISERROR(I29/I$31)=TRUE,0,I29/I$31)</f>
        <v>0</v>
      </c>
      <c r="K29" s="343"/>
    </row>
    <row r="30" spans="2:11" ht="12" customHeight="1" x14ac:dyDescent="0.25">
      <c r="B30" s="736"/>
      <c r="C30" s="312"/>
      <c r="D30" s="330"/>
      <c r="E30" s="312"/>
      <c r="F30" s="330"/>
      <c r="G30" s="95"/>
      <c r="H30" s="330"/>
      <c r="I30" s="312"/>
      <c r="J30" s="1149"/>
      <c r="K30" s="343"/>
    </row>
    <row r="31" spans="2:11" ht="18.75" thickBot="1" x14ac:dyDescent="0.3">
      <c r="B31" s="737" t="s">
        <v>493</v>
      </c>
      <c r="C31" s="324">
        <f>C20+C29</f>
        <v>0</v>
      </c>
      <c r="D31" s="331">
        <f>IF(ISERROR(C31/C$31)=TRUE,0,C31/C$31)</f>
        <v>0</v>
      </c>
      <c r="E31" s="324">
        <f ca="1">E20+E29</f>
        <v>0</v>
      </c>
      <c r="F31" s="331">
        <f ca="1">IF(ISERROR(E31/E$31)=TRUE,0,E31/E$31)</f>
        <v>0</v>
      </c>
      <c r="G31" s="325">
        <f ca="1">G20+G29</f>
        <v>0</v>
      </c>
      <c r="H31" s="331">
        <f ca="1">IF(ISERROR(G31/G$31)=TRUE,0,G31/G$31)</f>
        <v>0</v>
      </c>
      <c r="I31" s="324">
        <f ca="1">I20+I29</f>
        <v>0</v>
      </c>
      <c r="J31" s="1150">
        <f ca="1">IF(ISERROR(I31/I$31)=TRUE,0,I31/I$31)</f>
        <v>0</v>
      </c>
      <c r="K31" s="343"/>
    </row>
    <row r="32" spans="2:11" ht="36" customHeight="1" thickBot="1" x14ac:dyDescent="0.3">
      <c r="B32" s="738" t="s">
        <v>494</v>
      </c>
      <c r="C32" s="336" t="s">
        <v>474</v>
      </c>
      <c r="D32" s="339" t="s">
        <v>100</v>
      </c>
      <c r="E32" s="336" t="s">
        <v>474</v>
      </c>
      <c r="F32" s="339" t="s">
        <v>100</v>
      </c>
      <c r="G32" s="336" t="s">
        <v>474</v>
      </c>
      <c r="H32" s="339" t="s">
        <v>100</v>
      </c>
      <c r="I32" s="336" t="s">
        <v>474</v>
      </c>
      <c r="J32" s="339" t="s">
        <v>100</v>
      </c>
      <c r="K32" s="1179"/>
    </row>
    <row r="33" spans="2:15" x14ac:dyDescent="0.2">
      <c r="B33" s="731" t="s">
        <v>495</v>
      </c>
      <c r="C33" s="321"/>
      <c r="D33" s="326"/>
      <c r="E33" s="321"/>
      <c r="F33" s="326"/>
      <c r="G33" s="321"/>
      <c r="H33" s="326"/>
      <c r="I33" s="321"/>
      <c r="J33" s="323"/>
    </row>
    <row r="34" spans="2:15" x14ac:dyDescent="0.2">
      <c r="B34" s="735" t="s">
        <v>496</v>
      </c>
      <c r="D34" s="334"/>
      <c r="F34" s="334"/>
      <c r="G34" s="88"/>
      <c r="H34" s="334"/>
      <c r="J34" s="1151"/>
    </row>
    <row r="35" spans="2:15" x14ac:dyDescent="0.2">
      <c r="B35" s="732" t="s">
        <v>497</v>
      </c>
      <c r="C35" s="314">
        <f>'PRESUPUESTO INICIAL INVER_FINAN'!F95</f>
        <v>0</v>
      </c>
      <c r="D35" s="327">
        <f>IF(ISERROR(C35/C$31)=TRUE,0,C35/C$31)</f>
        <v>0</v>
      </c>
      <c r="E35" s="314">
        <f>C35+'Entrada Inver_Finan'!E101</f>
        <v>0</v>
      </c>
      <c r="F35" s="327">
        <f ca="1">IF(ISERROR(E35/E$31)=TRUE,0,E35/E$31)</f>
        <v>0</v>
      </c>
      <c r="G35" s="314">
        <f>E35+'Entrada Inver_Finan'!F101</f>
        <v>0</v>
      </c>
      <c r="H35" s="327">
        <f ca="1">IF(ISERROR(G35/G$31)=TRUE,0,G35/G$31)</f>
        <v>0</v>
      </c>
      <c r="I35" s="314">
        <f>G35+'Entrada Inver_Finan'!G101</f>
        <v>0</v>
      </c>
      <c r="J35" s="1143">
        <f ca="1">IF(ISERROR(I35/I$31)=TRUE,0,I35/I$31)</f>
        <v>0</v>
      </c>
      <c r="K35" s="309"/>
      <c r="O35" s="318"/>
    </row>
    <row r="36" spans="2:15" x14ac:dyDescent="0.2">
      <c r="B36" s="732" t="s">
        <v>498</v>
      </c>
      <c r="C36" s="314">
        <f>'Entrada Inver_Finan'!D66*-1</f>
        <v>0</v>
      </c>
      <c r="D36" s="327">
        <f>IF(ISERROR(C36/C$31)=TRUE,0,C36/C$31)</f>
        <v>0</v>
      </c>
      <c r="E36" s="314">
        <f>C36</f>
        <v>0</v>
      </c>
      <c r="F36" s="327">
        <f ca="1">IF(ISERROR(E36/E$31)=TRUE,0,E36/E$31)</f>
        <v>0</v>
      </c>
      <c r="G36" s="314">
        <f ca="1">E36+'CUENTA DE RESULTADOS'!D39</f>
        <v>0</v>
      </c>
      <c r="H36" s="327">
        <f ca="1">IF(ISERROR(G36/G$31)=TRUE,0,G36/G$31)</f>
        <v>0</v>
      </c>
      <c r="I36" s="314">
        <f ca="1">G36+'CUENTA DE RESULTADOS'!E39</f>
        <v>0</v>
      </c>
      <c r="J36" s="1143">
        <f ca="1">IF(ISERROR(I36/I$31)=TRUE,0,I36/I$31)</f>
        <v>0</v>
      </c>
      <c r="K36" s="309"/>
    </row>
    <row r="37" spans="2:15" x14ac:dyDescent="0.2">
      <c r="B37" s="733" t="s">
        <v>499</v>
      </c>
      <c r="C37" s="314">
        <v>0</v>
      </c>
      <c r="D37" s="327"/>
      <c r="E37" s="314">
        <v>0</v>
      </c>
      <c r="F37" s="327"/>
      <c r="G37" s="314">
        <v>0</v>
      </c>
      <c r="H37" s="327"/>
      <c r="I37" s="314">
        <v>0</v>
      </c>
      <c r="J37" s="1143"/>
      <c r="K37" s="309"/>
    </row>
    <row r="38" spans="2:15" x14ac:dyDescent="0.2">
      <c r="B38" s="733" t="s">
        <v>500</v>
      </c>
      <c r="C38" s="314">
        <v>0</v>
      </c>
      <c r="D38" s="1152"/>
      <c r="E38" s="314">
        <v>0</v>
      </c>
      <c r="F38" s="1152"/>
      <c r="G38" s="314">
        <v>0</v>
      </c>
      <c r="H38" s="1152"/>
      <c r="I38" s="314">
        <v>0</v>
      </c>
      <c r="J38" s="1153"/>
      <c r="K38" s="343"/>
    </row>
    <row r="39" spans="2:15" x14ac:dyDescent="0.2">
      <c r="B39" s="732" t="s">
        <v>501</v>
      </c>
      <c r="C39" s="579">
        <f>'CUENTA DE RESULTADOS'!D127</f>
        <v>0</v>
      </c>
      <c r="D39" s="335">
        <f>IF(ISERROR(C39/C$31)=TRUE,0,C39/C$31)</f>
        <v>0</v>
      </c>
      <c r="E39" s="579">
        <f ca="1">'CUENTA DE RESULTADOS'!D35</f>
        <v>0</v>
      </c>
      <c r="F39" s="335">
        <f ca="1">IF(ISERROR(E39/E$31)=TRUE,0,E39/E$31)</f>
        <v>0</v>
      </c>
      <c r="G39" s="579">
        <f ca="1">'CUENTA DE RESULTADOS'!E35</f>
        <v>0</v>
      </c>
      <c r="H39" s="335">
        <f ca="1">IF(ISERROR(G39/G$31)=TRUE,0,G39/G$31)</f>
        <v>0</v>
      </c>
      <c r="I39" s="579">
        <f ca="1">'CUENTA DE RESULTADOS'!F35</f>
        <v>0</v>
      </c>
      <c r="J39" s="1144">
        <f ca="1">IF(ISERROR(I39/I$31)=TRUE,0,I39/I$31)</f>
        <v>0</v>
      </c>
      <c r="K39" s="309"/>
    </row>
    <row r="40" spans="2:15" x14ac:dyDescent="0.2">
      <c r="B40" s="732"/>
      <c r="C40" s="315"/>
      <c r="D40" s="332"/>
      <c r="E40" s="315"/>
      <c r="F40" s="332"/>
      <c r="G40" s="315"/>
      <c r="H40" s="332"/>
      <c r="I40" s="315"/>
      <c r="J40" s="1148"/>
      <c r="K40" s="309"/>
    </row>
    <row r="41" spans="2:15" ht="25.5" x14ac:dyDescent="0.2">
      <c r="B41" s="730" t="s">
        <v>502</v>
      </c>
      <c r="C41" s="314">
        <f>'PRESUPUESTO INICIAL INVER_FINAN'!F96+'PRESUPUESTO INICIAL INVER_FINAN'!F97</f>
        <v>0</v>
      </c>
      <c r="D41" s="327">
        <f>IF(ISERROR(C41/C$31)=TRUE,0,C41/C$31)</f>
        <v>0</v>
      </c>
      <c r="E41" s="314"/>
      <c r="F41" s="327"/>
      <c r="G41" s="314"/>
      <c r="H41" s="327"/>
      <c r="I41" s="314"/>
      <c r="J41" s="1143"/>
      <c r="K41" s="309"/>
    </row>
    <row r="42" spans="2:15" ht="15.75" x14ac:dyDescent="0.25">
      <c r="B42" s="734" t="s">
        <v>503</v>
      </c>
      <c r="C42" s="310">
        <f>SUM(C35:C41)</f>
        <v>0</v>
      </c>
      <c r="D42" s="328">
        <f>IF(ISERROR(C42/C$31)=TRUE,0,C42/C$31)</f>
        <v>0</v>
      </c>
      <c r="E42" s="310">
        <f ca="1">SUM(E35:E41)</f>
        <v>0</v>
      </c>
      <c r="F42" s="328">
        <f ca="1">IF(ISERROR(E42/E$31)=TRUE,0,E42/E$31)</f>
        <v>0</v>
      </c>
      <c r="G42" s="310">
        <f ca="1">SUM(G35:G41)</f>
        <v>0</v>
      </c>
      <c r="H42" s="328">
        <f ca="1">IF(ISERROR(G42/G$31)=TRUE,0,G42/G$31)</f>
        <v>0</v>
      </c>
      <c r="I42" s="310">
        <f ca="1">SUM(I35:I41)</f>
        <v>0</v>
      </c>
      <c r="J42" s="1145">
        <f ca="1">IF(ISERROR(I42/I$31)=TRUE,0,I42/I$31)</f>
        <v>0</v>
      </c>
      <c r="K42" s="343"/>
    </row>
    <row r="43" spans="2:15" ht="19.5" customHeight="1" x14ac:dyDescent="0.2">
      <c r="B43" s="735" t="s">
        <v>504</v>
      </c>
      <c r="D43" s="334"/>
      <c r="F43" s="334"/>
      <c r="G43" s="88"/>
      <c r="H43" s="334"/>
      <c r="J43" s="1151"/>
    </row>
    <row r="44" spans="2:15" ht="13.5" customHeight="1" x14ac:dyDescent="0.2">
      <c r="B44" s="739" t="s">
        <v>505</v>
      </c>
      <c r="D44" s="334"/>
      <c r="F44" s="334"/>
      <c r="G44" s="88"/>
      <c r="H44" s="334"/>
      <c r="J44" s="1151"/>
    </row>
    <row r="45" spans="2:15" x14ac:dyDescent="0.2">
      <c r="B45" s="732" t="s">
        <v>506</v>
      </c>
      <c r="C45" s="316">
        <f>'Préstamos LP'!D11-'Préstamos LP'!C19</f>
        <v>0</v>
      </c>
      <c r="D45" s="327">
        <f>IF(ISERROR(C45/C$31)=TRUE,0,C45/C$31)</f>
        <v>0</v>
      </c>
      <c r="E45" s="608">
        <f>SUM('Préstamos LP'!D11:D12)-'Préstamos LP'!F12-SUM('Préstamos LP'!D19:D20)</f>
        <v>0</v>
      </c>
      <c r="F45" s="327">
        <f ca="1">IF(ISERROR(E45/E$31)=TRUE,0,E45/E$31)</f>
        <v>0</v>
      </c>
      <c r="G45" s="610">
        <f>SUM('Préstamos LP'!D11:D13)-SUM('Préstamos LP'!F12:F13)-SUM('Préstamos LP'!E19:E21)</f>
        <v>0</v>
      </c>
      <c r="H45" s="327">
        <f ca="1">IF(ISERROR(G45/G$31)=TRUE,0,G45/G$31)</f>
        <v>0</v>
      </c>
      <c r="I45" s="316">
        <f>SUM('Préstamos LP'!D11:D14)-SUM('Préstamos LP'!F11:F14)-SUM('Préstamos LP'!F19:F22)</f>
        <v>0</v>
      </c>
      <c r="J45" s="1143">
        <f ca="1">IF(ISERROR(I45/I$31)=TRUE,0,I45/I$31)</f>
        <v>0</v>
      </c>
      <c r="K45" s="309"/>
    </row>
    <row r="46" spans="2:15" x14ac:dyDescent="0.2">
      <c r="B46" s="732" t="s">
        <v>507</v>
      </c>
      <c r="C46" s="316">
        <f>'Préstamos LP'!J11-'Préstamos LP'!I19</f>
        <v>0</v>
      </c>
      <c r="D46" s="327">
        <f>IF(ISERROR(C46/C$31)=TRUE,0,C46/C$31)</f>
        <v>0</v>
      </c>
      <c r="E46" s="608">
        <f>SUM('Préstamos LP'!J11:J12)-'Préstamos LP'!L12-SUM('Préstamos LP'!J19:J20)</f>
        <v>0</v>
      </c>
      <c r="F46" s="327">
        <f ca="1">IF(ISERROR(E46/E$31)=TRUE,0,E46/E$31)</f>
        <v>0</v>
      </c>
      <c r="G46" s="706">
        <f>SUM('Préstamos LP'!J11:J13)-SUM('Préstamos LP'!L12:L13)-SUM('Préstamos LP'!K19:K21)</f>
        <v>0</v>
      </c>
      <c r="H46" s="327">
        <f ca="1">IF(ISERROR(G46/G$31)=TRUE,0,G46/G$31)</f>
        <v>0</v>
      </c>
      <c r="I46" s="608">
        <f>SUM('Préstamos LP'!J11:J14)-SUM('Préstamos LP'!L12:L14)-SUM('Préstamos LP'!L19:L22)</f>
        <v>0</v>
      </c>
      <c r="J46" s="1143">
        <f ca="1">IF(ISERROR(I46/I$31)=TRUE,0,I46/I$31)</f>
        <v>0</v>
      </c>
      <c r="K46" s="309"/>
    </row>
    <row r="47" spans="2:15" x14ac:dyDescent="0.2">
      <c r="B47" s="732" t="s">
        <v>508</v>
      </c>
      <c r="C47" s="318">
        <f>IF('Otra financiación'!D21=0,0,'Otra financiación'!D21-'Otra financiación'!D26)</f>
        <v>0</v>
      </c>
      <c r="D47" s="332">
        <f>IF(ISERROR(C47/C$31)=TRUE,0,C47/C$31)</f>
        <v>0</v>
      </c>
      <c r="E47" s="318">
        <f>SUM('Otra financiación'!D21:D22)-SUM('Otra financiación'!D26:D27)</f>
        <v>0</v>
      </c>
      <c r="F47" s="332">
        <f ca="1">IF(ISERROR(E47/E$31)=TRUE,0,E47/E$31)</f>
        <v>0</v>
      </c>
      <c r="G47" s="101">
        <f>SUM('Otra financiación'!D21:D23)-SUM('Otra financiación'!D26:D28)</f>
        <v>0</v>
      </c>
      <c r="H47" s="332">
        <f ca="1">IF(ISERROR(G47/G$31)=TRUE,0,G47/G$31)</f>
        <v>0</v>
      </c>
      <c r="I47" s="318">
        <f>SUM('Otra financiación'!D21:D24)-SUM('Otra financiación'!D26:D29)</f>
        <v>0</v>
      </c>
      <c r="J47" s="1148">
        <f ca="1">IF(ISERROR(I47/I$31)=TRUE,0,I47/I$31)</f>
        <v>0</v>
      </c>
      <c r="K47" s="309"/>
    </row>
    <row r="48" spans="2:15" ht="16.5" customHeight="1" x14ac:dyDescent="0.2">
      <c r="B48" s="732" t="s">
        <v>509</v>
      </c>
      <c r="C48" s="316">
        <f>IF('Otra financiación'!C21=0,0,'Otra financiación'!C21-'Otra financiación'!C26)</f>
        <v>0</v>
      </c>
      <c r="D48" s="327">
        <f>IF(ISERROR(C48/C$31)=TRUE,0,C48/C$31)</f>
        <v>0</v>
      </c>
      <c r="E48" s="316">
        <f>SUM('Otra financiación'!C21:C22)-SUM('Otra financiación'!C26:C27)</f>
        <v>0</v>
      </c>
      <c r="F48" s="327">
        <f ca="1">IF(ISERROR(E48/E$31)=TRUE,0,E48/E$31)</f>
        <v>0</v>
      </c>
      <c r="G48" s="317">
        <f>SUM('Otra financiación'!C21:C23)-SUM('Otra financiación'!C26:C28)</f>
        <v>0</v>
      </c>
      <c r="H48" s="327">
        <f ca="1">IF(ISERROR(G48/G$31)=TRUE,0,G48/G$31)</f>
        <v>0</v>
      </c>
      <c r="I48" s="316">
        <f>SUM('Otra financiación'!C21:C24)-SUM('Otra financiación'!C26:C29)</f>
        <v>0</v>
      </c>
      <c r="J48" s="1143">
        <f ca="1">IF(ISERROR(I48/I$31)=TRUE,0,I48/I$31)</f>
        <v>0</v>
      </c>
      <c r="K48" s="309"/>
    </row>
    <row r="49" spans="2:15" x14ac:dyDescent="0.2">
      <c r="B49" s="732" t="s">
        <v>510</v>
      </c>
      <c r="C49" s="333">
        <v>0</v>
      </c>
      <c r="D49" s="335">
        <f>IF(ISERROR(C49/C$31)=TRUE,0,C49/C$31)</f>
        <v>0</v>
      </c>
      <c r="E49" s="333">
        <v>0</v>
      </c>
      <c r="F49" s="335">
        <f ca="1">IF(ISERROR(E49/E$31)=TRUE,0,E49/E$31)</f>
        <v>0</v>
      </c>
      <c r="G49" s="564">
        <v>0</v>
      </c>
      <c r="H49" s="335">
        <f ca="1">IF(ISERROR(G49/G$31)=TRUE,0,G49/G$31)</f>
        <v>0</v>
      </c>
      <c r="I49" s="333">
        <v>0</v>
      </c>
      <c r="J49" s="1144">
        <f ca="1">IF(ISERROR(I49/I$31)=TRUE,0,I49/I$31)</f>
        <v>0</v>
      </c>
      <c r="K49" s="309"/>
    </row>
    <row r="50" spans="2:15" x14ac:dyDescent="0.2">
      <c r="B50" s="733" t="s">
        <v>511</v>
      </c>
      <c r="C50" s="333">
        <v>0</v>
      </c>
      <c r="D50" s="335"/>
      <c r="E50" s="333">
        <v>0</v>
      </c>
      <c r="F50" s="335"/>
      <c r="G50" s="564">
        <v>0</v>
      </c>
      <c r="H50" s="335"/>
      <c r="I50" s="333">
        <v>0</v>
      </c>
      <c r="J50" s="1144"/>
      <c r="K50" s="309"/>
    </row>
    <row r="51" spans="2:15" ht="15.75" x14ac:dyDescent="0.25">
      <c r="B51" s="734" t="s">
        <v>512</v>
      </c>
      <c r="C51" s="310">
        <f>SUM(C45:C50)</f>
        <v>0</v>
      </c>
      <c r="D51" s="328">
        <f>IF(ISERROR(C51/C$31)=TRUE,0,C51/C$31)</f>
        <v>0</v>
      </c>
      <c r="E51" s="310">
        <f>SUM(E45:E50)</f>
        <v>0</v>
      </c>
      <c r="F51" s="328">
        <f ca="1">IF(ISERROR(E51/E$31)=TRUE,0,E51/E$31)</f>
        <v>0</v>
      </c>
      <c r="G51" s="310">
        <f>SUM(G45:G50)</f>
        <v>0</v>
      </c>
      <c r="H51" s="328">
        <f ca="1">IF(ISERROR(G51/G$31)=TRUE,0,G51/G$31)</f>
        <v>0</v>
      </c>
      <c r="I51" s="310">
        <f>SUM(I45:I50)</f>
        <v>0</v>
      </c>
      <c r="J51" s="1145">
        <f ca="1">IF(ISERROR(I51/I$31)=TRUE,0,I51/I$31)</f>
        <v>0</v>
      </c>
      <c r="K51" s="343"/>
    </row>
    <row r="52" spans="2:15" ht="18.75" customHeight="1" x14ac:dyDescent="0.2">
      <c r="B52" s="735" t="s">
        <v>513</v>
      </c>
      <c r="E52" s="1200"/>
      <c r="F52" s="334"/>
      <c r="G52" s="1200"/>
      <c r="H52" s="334"/>
      <c r="J52" s="1151"/>
    </row>
    <row r="53" spans="2:15" ht="12" customHeight="1" x14ac:dyDescent="0.2">
      <c r="B53" s="739" t="s">
        <v>514</v>
      </c>
      <c r="E53" s="1200"/>
      <c r="F53" s="334"/>
      <c r="G53" s="1200"/>
      <c r="H53" s="334"/>
      <c r="J53" s="1151"/>
    </row>
    <row r="54" spans="2:15" x14ac:dyDescent="0.2">
      <c r="B54" s="732" t="s">
        <v>506</v>
      </c>
      <c r="C54" s="610">
        <f>'PRESUPUESTO INICIAL INVER_FINAN'!F108+'Préstamos LP'!C19</f>
        <v>0</v>
      </c>
      <c r="D54" s="1198">
        <f>IF(ISERROR(C54/C$31)=TRUE,0,C54/C$31)</f>
        <v>0</v>
      </c>
      <c r="E54" s="1201">
        <f>SUM('Préstamos CP'!D12:D13)-'Préstamos CP'!F13+SUM('Préstamos LP'!D19:D20)</f>
        <v>0</v>
      </c>
      <c r="F54" s="327">
        <f ca="1">IF(ISERROR(E54/E$31)=TRUE,0,E54/E$31)</f>
        <v>0</v>
      </c>
      <c r="G54" s="1201">
        <f>SUM('Préstamos CP'!D12:D14)-SUM('Préstamos CP'!F13:F14)+SUM('Préstamos LP'!E19:E21)</f>
        <v>0</v>
      </c>
      <c r="H54" s="327">
        <f t="shared" ref="H54:H64" ca="1" si="1">IF(ISERROR(G54/G$31)=TRUE,0,G54/G$31)</f>
        <v>0</v>
      </c>
      <c r="I54" s="610">
        <f>SUM('Préstamos CP'!D12:D15)-SUM('Préstamos CP'!F12:F15)+SUM('Préstamos LP'!F19:F22)</f>
        <v>0</v>
      </c>
      <c r="J54" s="1143">
        <f t="shared" ref="J54:J64" ca="1" si="2">IF(ISERROR(I54/I$31)=TRUE,0,I54/I$31)</f>
        <v>0</v>
      </c>
      <c r="K54" s="309"/>
    </row>
    <row r="55" spans="2:15" x14ac:dyDescent="0.2">
      <c r="B55" s="732" t="s">
        <v>507</v>
      </c>
      <c r="C55" s="609">
        <f>'Préstamos LP'!I19</f>
        <v>0</v>
      </c>
      <c r="D55" s="1199">
        <f>IF(ISERROR(C55/C$31)=TRUE,0,C55/C$31)</f>
        <v>0</v>
      </c>
      <c r="E55" s="1202">
        <f>'Préstamos LP'!J19+'Préstamos LP'!J20</f>
        <v>0</v>
      </c>
      <c r="F55" s="335">
        <f ca="1">IF(ISERROR(E55/E$31)=TRUE,0,E55/E$31)</f>
        <v>0</v>
      </c>
      <c r="G55" s="1202">
        <f>SUM('Préstamos LP'!K19:K21)</f>
        <v>0</v>
      </c>
      <c r="H55" s="335">
        <f t="shared" ca="1" si="1"/>
        <v>0</v>
      </c>
      <c r="I55" s="609">
        <f>SUM('Préstamos LP'!L19:L22)</f>
        <v>0</v>
      </c>
      <c r="J55" s="1144">
        <f t="shared" ca="1" si="2"/>
        <v>0</v>
      </c>
      <c r="K55" s="309"/>
    </row>
    <row r="56" spans="2:15" x14ac:dyDescent="0.2">
      <c r="B56" s="732" t="s">
        <v>515</v>
      </c>
      <c r="C56" s="333">
        <f>'Otra financiación'!F13+IF('Otra financiación'!D21=0,0,'Otra financiación'!D26)</f>
        <v>0</v>
      </c>
      <c r="D56" s="1199">
        <f>IF(ISERROR(C56/C$31)=TRUE,0,C56/C$31)</f>
        <v>0</v>
      </c>
      <c r="E56" s="803">
        <f>'Otra financiación'!F13-'Otra financiación'!F26+'Otra financiación'!D27</f>
        <v>0</v>
      </c>
      <c r="F56" s="335">
        <f ca="1">IF(ISERROR(E56/E$31)=TRUE,0,E56/E$31)</f>
        <v>0</v>
      </c>
      <c r="G56" s="803">
        <f>'Otra financiación'!D28</f>
        <v>0</v>
      </c>
      <c r="H56" s="335">
        <f ca="1">IF(ISERROR(G56/G$31)=TRUE,0,G56/G$31)</f>
        <v>0</v>
      </c>
      <c r="I56" s="333">
        <f>'Otra financiación'!D29</f>
        <v>0</v>
      </c>
      <c r="J56" s="1144">
        <f ca="1">IF(ISERROR(I56/I$31)=TRUE,0,I56/I$31)</f>
        <v>0</v>
      </c>
      <c r="K56" s="309"/>
    </row>
    <row r="57" spans="2:15" ht="17.25" customHeight="1" x14ac:dyDescent="0.2">
      <c r="B57" s="732" t="s">
        <v>509</v>
      </c>
      <c r="C57" s="333">
        <f>'Otra financiación'!E13+IF('Otra financiación'!C21=0,0,'Otra financiación'!C26)</f>
        <v>0</v>
      </c>
      <c r="D57" s="1199">
        <f>IF(ISERROR(C57/C$31)=TRUE,0,C57/C$31)</f>
        <v>0</v>
      </c>
      <c r="E57" s="803">
        <f>'Otra financiación'!E13-'Otra financiación'!E26+'Otra financiación'!C27</f>
        <v>0</v>
      </c>
      <c r="F57" s="335">
        <f ca="1">IF(ISERROR(E57/E$31)=TRUE,0,E57/E$31)</f>
        <v>0</v>
      </c>
      <c r="G57" s="803">
        <f>'Otra financiación'!C28</f>
        <v>0</v>
      </c>
      <c r="H57" s="335">
        <f t="shared" ca="1" si="1"/>
        <v>0</v>
      </c>
      <c r="I57" s="333">
        <f>'Otra financiación'!C29</f>
        <v>0</v>
      </c>
      <c r="J57" s="1144">
        <f t="shared" ca="1" si="2"/>
        <v>0</v>
      </c>
      <c r="K57" s="309"/>
    </row>
    <row r="58" spans="2:15" ht="15" customHeight="1" x14ac:dyDescent="0.2">
      <c r="B58" s="732" t="s">
        <v>516</v>
      </c>
      <c r="C58" s="318"/>
      <c r="D58" s="309"/>
      <c r="E58" s="1203"/>
      <c r="F58" s="332"/>
      <c r="G58" s="1203"/>
      <c r="H58" s="332"/>
      <c r="I58" s="318"/>
      <c r="J58" s="1148"/>
      <c r="K58" s="309"/>
    </row>
    <row r="59" spans="2:15" x14ac:dyDescent="0.2">
      <c r="B59" s="732" t="s">
        <v>517</v>
      </c>
      <c r="C59" s="316">
        <f>'PRESUPUESTO INICIAL INVER_FINAN'!F109</f>
        <v>0</v>
      </c>
      <c r="D59" s="1198">
        <f>IF(ISERROR(C59/C$31)=TRUE,0,C59/C$31)</f>
        <v>0</v>
      </c>
      <c r="E59" s="1204">
        <f ca="1">'Politica Cobr. Pagos'!E46</f>
        <v>0</v>
      </c>
      <c r="F59" s="327">
        <f ca="1">IF(ISERROR(E59/E$31)=TRUE,0,E59/E$31)</f>
        <v>0</v>
      </c>
      <c r="G59" s="1204">
        <f ca="1">'Politica Cobr. Pagos'!F46</f>
        <v>0</v>
      </c>
      <c r="H59" s="327">
        <f ca="1">IF(ISERROR(G59/G$31)=TRUE,0,G59/G$31)</f>
        <v>0</v>
      </c>
      <c r="I59" s="316">
        <f ca="1">'Politica Cobr. Pagos'!G46</f>
        <v>0</v>
      </c>
      <c r="J59" s="1143">
        <f ca="1">IF(ISERROR(I59/I$31)=TRUE,0,I59/I$31)</f>
        <v>0</v>
      </c>
      <c r="K59" s="309"/>
    </row>
    <row r="60" spans="2:15" x14ac:dyDescent="0.2">
      <c r="B60" s="732" t="s">
        <v>518</v>
      </c>
      <c r="C60" s="316">
        <v>0</v>
      </c>
      <c r="D60" s="1198">
        <f>IF(ISERROR(C60/C$31)=TRUE,0,C60/C$31)</f>
        <v>0</v>
      </c>
      <c r="E60" s="1204">
        <f ca="1">IF(TESORERIA!D39&gt;=0,TESORERIA!D39,0)+'Impuesto sociedades'!F76</f>
        <v>0</v>
      </c>
      <c r="F60" s="327">
        <f ca="1">IF(ISERROR(E60/E$31)=TRUE,0,E60/E$31)</f>
        <v>0</v>
      </c>
      <c r="G60" s="1204">
        <f ca="1">IF(TESORERIA!E39&gt;=0,TESORERIA!E39,0)+ 'Impuesto sociedades'!I76</f>
        <v>0</v>
      </c>
      <c r="H60" s="327">
        <f ca="1">IF(ISERROR(G60/G$31)=TRUE,0,G60/G$31)</f>
        <v>0</v>
      </c>
      <c r="I60" s="316">
        <f ca="1">IF(TESORERIA!F39&gt;=0,TESORERIA!F39,0)+ 'Impuesto sociedades'!L76</f>
        <v>0</v>
      </c>
      <c r="J60" s="1143">
        <f ca="1">IF(ISERROR(I60/I$31)=TRUE,0,I60/I$31)</f>
        <v>0</v>
      </c>
      <c r="K60" s="309"/>
    </row>
    <row r="61" spans="2:15" ht="15.75" customHeight="1" x14ac:dyDescent="0.2">
      <c r="B61" s="733" t="s">
        <v>490</v>
      </c>
      <c r="C61" s="318">
        <v>0</v>
      </c>
      <c r="D61" s="309"/>
      <c r="E61" s="1203">
        <v>0</v>
      </c>
      <c r="F61" s="332"/>
      <c r="G61" s="1203">
        <v>0</v>
      </c>
      <c r="H61" s="332"/>
      <c r="I61" s="318">
        <v>0</v>
      </c>
      <c r="J61" s="1148"/>
      <c r="K61" s="309"/>
    </row>
    <row r="62" spans="2:15" ht="15.75" x14ac:dyDescent="0.25">
      <c r="B62" s="734" t="s">
        <v>519</v>
      </c>
      <c r="C62" s="310">
        <f>SUM(C53:C61)</f>
        <v>0</v>
      </c>
      <c r="D62" s="328">
        <f>IF(ISERROR(C62/C$31)=TRUE,0,C62/C$31)</f>
        <v>0</v>
      </c>
      <c r="E62" s="310">
        <f ca="1">SUM(E53:E61)</f>
        <v>0</v>
      </c>
      <c r="F62" s="328">
        <f ca="1">IF(ISERROR(E62/E$31)=TRUE,0,E62/E$31)</f>
        <v>0</v>
      </c>
      <c r="G62" s="310">
        <f ca="1">SUM(G53:G61)</f>
        <v>0</v>
      </c>
      <c r="H62" s="328">
        <f t="shared" ca="1" si="1"/>
        <v>0</v>
      </c>
      <c r="I62" s="310">
        <f ca="1">SUM(I53:I61)</f>
        <v>0</v>
      </c>
      <c r="J62" s="1145">
        <f t="shared" ca="1" si="2"/>
        <v>0</v>
      </c>
      <c r="K62" s="343"/>
      <c r="O62" s="581"/>
    </row>
    <row r="63" spans="2:15" ht="12" customHeight="1" x14ac:dyDescent="0.2">
      <c r="B63" s="730"/>
      <c r="C63" s="312"/>
      <c r="D63" s="330">
        <f>IF(ISERROR(C63/C$31)=TRUE,0,C63/C$31)</f>
        <v>0</v>
      </c>
      <c r="E63" s="312"/>
      <c r="F63" s="330">
        <f ca="1">IF(ISERROR(E63/E$31)=TRUE,0,E63/E$31)</f>
        <v>0</v>
      </c>
      <c r="G63" s="95"/>
      <c r="H63" s="330">
        <f t="shared" ca="1" si="1"/>
        <v>0</v>
      </c>
      <c r="I63" s="312"/>
      <c r="J63" s="1149">
        <f t="shared" ca="1" si="2"/>
        <v>0</v>
      </c>
      <c r="K63" s="343"/>
    </row>
    <row r="64" spans="2:15" ht="36.75" thickBot="1" x14ac:dyDescent="0.3">
      <c r="B64" s="737" t="s">
        <v>520</v>
      </c>
      <c r="C64" s="324">
        <f>C42+C51+C62</f>
        <v>0</v>
      </c>
      <c r="D64" s="331">
        <f>IF(ISERROR(C64/C$31)=TRUE,0,C64/C$31)</f>
        <v>0</v>
      </c>
      <c r="E64" s="324">
        <f ca="1">E42+E51+E62</f>
        <v>0</v>
      </c>
      <c r="F64" s="331">
        <f ca="1">IF(ISERROR(E64/E$31)=TRUE,0,E64/E$31)</f>
        <v>0</v>
      </c>
      <c r="G64" s="325">
        <f ca="1">G42+G51+G62</f>
        <v>0</v>
      </c>
      <c r="H64" s="331">
        <f t="shared" ca="1" si="1"/>
        <v>0</v>
      </c>
      <c r="I64" s="324">
        <f ca="1">I42+I51+I62</f>
        <v>0</v>
      </c>
      <c r="J64" s="1150">
        <f t="shared" ca="1" si="2"/>
        <v>0</v>
      </c>
      <c r="K64" s="343"/>
    </row>
    <row r="65" spans="1:15" ht="18" x14ac:dyDescent="0.25">
      <c r="B65" s="344"/>
      <c r="C65" s="345"/>
      <c r="D65" s="343"/>
      <c r="E65" s="345"/>
      <c r="F65" s="343"/>
      <c r="G65" s="344"/>
      <c r="H65" s="343"/>
      <c r="I65" s="345"/>
      <c r="J65" s="343"/>
      <c r="K65" s="343"/>
    </row>
    <row r="66" spans="1:15" ht="21" customHeight="1" x14ac:dyDescent="0.2">
      <c r="B66" s="320" t="s">
        <v>521</v>
      </c>
      <c r="C66" s="319">
        <f>C42+C51</f>
        <v>0</v>
      </c>
      <c r="D66" s="598">
        <f>IF(ISERROR(C66/C$31)=TRUE,0,C66/C$31)</f>
        <v>0</v>
      </c>
      <c r="E66" s="319">
        <f ca="1">E42+E51</f>
        <v>0</v>
      </c>
      <c r="F66" s="598">
        <f ca="1">IF(ISERROR(E66/E$31)=TRUE,0,E66/E$31)</f>
        <v>0</v>
      </c>
      <c r="G66" s="320">
        <f ca="1">G42+G51</f>
        <v>0</v>
      </c>
      <c r="H66" s="598">
        <f ca="1">IF(ISERROR(G66/G$31)=TRUE,0,G66/G$31)</f>
        <v>0</v>
      </c>
      <c r="I66" s="319">
        <f ca="1">I42+I51</f>
        <v>0</v>
      </c>
      <c r="J66" s="598">
        <f ca="1">IF(ISERROR(I66/I$31)=TRUE,0,I66/I$31)</f>
        <v>0</v>
      </c>
      <c r="K66" s="343"/>
    </row>
    <row r="67" spans="1:15" ht="20.25" customHeight="1" x14ac:dyDescent="0.2">
      <c r="B67" s="740" t="s">
        <v>522</v>
      </c>
      <c r="C67" s="682">
        <f>C51+C62</f>
        <v>0</v>
      </c>
      <c r="D67" s="741">
        <f>IF(ISERROR(C67/C$31)=TRUE,0,C67/C$31)</f>
        <v>0</v>
      </c>
      <c r="E67" s="682">
        <f ca="1">E51+E62</f>
        <v>0</v>
      </c>
      <c r="F67" s="741">
        <f ca="1">IF(ISERROR(E67/E$31)=TRUE,0,E67/E$31)</f>
        <v>0</v>
      </c>
      <c r="G67" s="740">
        <f ca="1">G51+G62</f>
        <v>0</v>
      </c>
      <c r="H67" s="741">
        <f ca="1">IF(ISERROR(G67/G$31)=TRUE,0,G67/G$31)</f>
        <v>0</v>
      </c>
      <c r="I67" s="682">
        <f ca="1">I51+I62</f>
        <v>0</v>
      </c>
      <c r="J67" s="741">
        <f ca="1">IF(ISERROR(I67/I$31)=TRUE,0,I67/I$31)</f>
        <v>0</v>
      </c>
      <c r="K67" s="343"/>
    </row>
    <row r="68" spans="1:15" ht="15.75" x14ac:dyDescent="0.25">
      <c r="A68" s="91"/>
      <c r="B68" s="1054" t="s">
        <v>523</v>
      </c>
      <c r="C68" s="1054">
        <f>C66-C20</f>
        <v>0</v>
      </c>
      <c r="D68" s="741">
        <f>IF(ISERROR(C68/C$31)=TRUE,0,C68/C$31)</f>
        <v>0</v>
      </c>
      <c r="E68" s="1054">
        <f ca="1">E66-E20</f>
        <v>0</v>
      </c>
      <c r="F68" s="741">
        <f ca="1">IF(ISERROR(E68/E$31)=TRUE,0,E68/E$31)</f>
        <v>0</v>
      </c>
      <c r="G68" s="1054">
        <f ca="1">G66-G20</f>
        <v>0</v>
      </c>
      <c r="H68" s="741">
        <f ca="1">IF(ISERROR(G68/G$31)=TRUE,0,G68/G$31)</f>
        <v>0</v>
      </c>
      <c r="I68" s="1054">
        <f ca="1">I66-I20</f>
        <v>0</v>
      </c>
      <c r="J68" s="741">
        <f ca="1">IF(ISERROR(I68/I$31)=TRUE,0,I68/I$31)</f>
        <v>0</v>
      </c>
      <c r="K68" s="343"/>
    </row>
    <row r="69" spans="1:15" ht="15" x14ac:dyDescent="0.2">
      <c r="B69" s="504" t="s">
        <v>524</v>
      </c>
      <c r="C69" s="91"/>
      <c r="D69" s="94"/>
      <c r="E69" s="91"/>
      <c r="G69" s="102"/>
      <c r="I69" s="91"/>
      <c r="J69" s="309"/>
      <c r="K69" s="309"/>
    </row>
    <row r="70" spans="1:15" ht="16.5" customHeight="1" x14ac:dyDescent="0.2">
      <c r="B70" s="99"/>
      <c r="C70" s="91"/>
      <c r="D70" s="94"/>
      <c r="E70" s="91"/>
      <c r="G70" s="102"/>
      <c r="I70" s="91"/>
    </row>
    <row r="71" spans="1:15" s="1154" customFormat="1" x14ac:dyDescent="0.2">
      <c r="B71" s="1155" t="s">
        <v>525</v>
      </c>
      <c r="C71" s="1156">
        <f>ROUND(C64-C31,4)</f>
        <v>0</v>
      </c>
      <c r="D71" s="1157"/>
      <c r="E71" s="1156">
        <f ca="1">ROUND(E64-E31,4)</f>
        <v>0</v>
      </c>
      <c r="F71" s="1156"/>
      <c r="G71" s="1156">
        <f ca="1">ROUND(G64-G31,4)</f>
        <v>0</v>
      </c>
      <c r="H71" s="1156"/>
      <c r="I71" s="1156">
        <f ca="1">ROUND(I64-I31,4)</f>
        <v>0</v>
      </c>
    </row>
    <row r="72" spans="1:15" ht="68.25" customHeight="1" x14ac:dyDescent="0.3">
      <c r="B72" s="91"/>
      <c r="C72" s="1381" t="str">
        <f ca="1">IF(C71+E71+G71+I71&lt;&gt;0,"¡SE HA DETECTADO UN ERROR TECNICO QUE ORIGINA ERRORES EN LOS CALCULOS!. Por favor, guarde el  libro Excel y remítalo a JMLC@secot.org.es","")</f>
        <v/>
      </c>
      <c r="D72" s="1381"/>
      <c r="E72" s="1381"/>
      <c r="F72" s="1381"/>
      <c r="G72" s="1381"/>
      <c r="H72" s="1381"/>
      <c r="I72" s="1381"/>
      <c r="J72" s="1381"/>
      <c r="K72" s="1180"/>
      <c r="L72" s="318"/>
    </row>
    <row r="73" spans="1:15" ht="18" customHeight="1" x14ac:dyDescent="0.25">
      <c r="B73" s="91"/>
      <c r="C73" s="283"/>
      <c r="M73" s="1378" t="s">
        <v>526</v>
      </c>
      <c r="N73" s="1378"/>
    </row>
    <row r="74" spans="1:15" ht="20.25" x14ac:dyDescent="0.3">
      <c r="B74" s="725" t="s">
        <v>527</v>
      </c>
      <c r="C74" s="342"/>
      <c r="D74" s="341"/>
      <c r="E74" s="1379" t="s">
        <v>95</v>
      </c>
      <c r="F74" s="1379"/>
      <c r="G74" s="1379" t="s">
        <v>96</v>
      </c>
      <c r="H74" s="1379"/>
      <c r="I74" s="1379" t="s">
        <v>97</v>
      </c>
      <c r="J74" s="1379"/>
      <c r="K74" s="496"/>
      <c r="M74" s="1379" t="s">
        <v>528</v>
      </c>
      <c r="N74" s="1379"/>
      <c r="O74" s="580"/>
    </row>
    <row r="75" spans="1:15" ht="15.75" customHeight="1" x14ac:dyDescent="0.3">
      <c r="B75" s="724"/>
      <c r="C75" s="91"/>
      <c r="E75" s="496"/>
      <c r="F75" s="496"/>
      <c r="G75" s="496"/>
      <c r="H75" s="496"/>
      <c r="I75" s="496"/>
      <c r="J75" s="496"/>
      <c r="K75" s="496"/>
      <c r="O75" s="580"/>
    </row>
    <row r="76" spans="1:15" s="91" customFormat="1" ht="15.75" hidden="1" x14ac:dyDescent="0.25">
      <c r="B76" s="1161" t="s">
        <v>529</v>
      </c>
      <c r="C76" s="1162"/>
      <c r="D76" s="1162"/>
      <c r="E76" s="1163">
        <f ca="1">E39+'AMORTIZACION CONTABLE'!H38</f>
        <v>0</v>
      </c>
      <c r="F76" s="1164"/>
      <c r="G76" s="1163">
        <f ca="1">G39+'AMORTIZACION CONTABLE'!J38</f>
        <v>0</v>
      </c>
      <c r="H76" s="1164"/>
      <c r="I76" s="1163">
        <f ca="1">I39+'AMORTIZACION CONTABLE'!L38</f>
        <v>0</v>
      </c>
      <c r="J76" s="1165"/>
      <c r="K76" s="1165"/>
      <c r="O76" s="580"/>
    </row>
    <row r="77" spans="1:15" ht="19.7" hidden="1" customHeight="1" x14ac:dyDescent="0.25">
      <c r="B77" s="1161" t="s">
        <v>530</v>
      </c>
      <c r="C77" s="1166"/>
      <c r="D77" s="1273"/>
      <c r="E77" s="1167">
        <f>IF(ISERROR('CUENTA DE RESULTADOS'!R63/('CUENTA DE RESULTADOS'!R53+'CUENTA DE RESULTADOS'!R61)*100)=TRUE,0,'CUENTA DE RESULTADOS'!R63/('CUENTA DE RESULTADOS'!R53+'CUENTA DE RESULTADOS'!R61)*100)</f>
        <v>0</v>
      </c>
      <c r="F77" s="1276" t="s">
        <v>100</v>
      </c>
      <c r="G77" s="1167">
        <f>IF(ISERROR('CUENTA DE RESULTADOS'!Q143/('CUENTA DE RESULTADOS'!Q133+'CUENTA DE RESULTADOS'!Q141)*100)=TRUE,0,'CUENTA DE RESULTADOS'!Q143/('CUENTA DE RESULTADOS'!Q133+'CUENTA DE RESULTADOS'!Q141)*100)</f>
        <v>0</v>
      </c>
      <c r="H77" s="1276" t="s">
        <v>100</v>
      </c>
      <c r="I77" s="1167">
        <f>IF(ISERROR('CUENTA DE RESULTADOS'!Q221/('CUENTA DE RESULTADOS'!Q211+'CUENTA DE RESULTADOS'!Q219)*100)=TRUE,0,'CUENTA DE RESULTADOS'!Q221/('CUENTA DE RESULTADOS'!Q211+'CUENTA DE RESULTADOS'!Q219)*100)</f>
        <v>0</v>
      </c>
      <c r="J77" s="1277" t="s">
        <v>100</v>
      </c>
      <c r="K77" s="1278"/>
      <c r="L77" s="91"/>
      <c r="O77" s="580"/>
    </row>
    <row r="78" spans="1:15" ht="19.7" hidden="1" customHeight="1" x14ac:dyDescent="0.25">
      <c r="B78" s="1168" t="s">
        <v>531</v>
      </c>
      <c r="C78" s="1169"/>
      <c r="D78" s="1274"/>
      <c r="E78" s="1170" t="s">
        <v>532</v>
      </c>
      <c r="F78" s="1279"/>
      <c r="G78" s="1171">
        <f ca="1">IF(ISERROR((G39-E39)*100/E39)=TRUE,0,(G39-E39)*100/E39)</f>
        <v>0</v>
      </c>
      <c r="H78" s="1279" t="s">
        <v>100</v>
      </c>
      <c r="I78" s="1171">
        <f ca="1">IF(ISERROR((I39-G39)*100/G39)=TRUE,0,(I39-G39)*100/G39)</f>
        <v>0</v>
      </c>
      <c r="J78" s="1280" t="s">
        <v>100</v>
      </c>
      <c r="K78" s="1278"/>
      <c r="L78" s="91"/>
      <c r="O78" s="580"/>
    </row>
    <row r="79" spans="1:15" ht="19.7" hidden="1" customHeight="1" x14ac:dyDescent="0.25">
      <c r="B79" s="1168" t="s">
        <v>533</v>
      </c>
      <c r="C79" s="1169"/>
      <c r="D79" s="1274"/>
      <c r="E79" s="1172">
        <f ca="1">IF(ISERROR(E39*100/E42)=TRUE,0,E39*100/E42)</f>
        <v>0</v>
      </c>
      <c r="F79" s="1279" t="s">
        <v>100</v>
      </c>
      <c r="G79" s="1172">
        <f ca="1">IF(ISERROR(G39*100/G42)=TRUE,0,G39*100/G42)</f>
        <v>0</v>
      </c>
      <c r="H79" s="1279" t="s">
        <v>100</v>
      </c>
      <c r="I79" s="1172">
        <f ca="1">IF(ISERROR(I39*100/I42)=TRUE,0,I39*100/I42)</f>
        <v>0</v>
      </c>
      <c r="J79" s="1280" t="s">
        <v>100</v>
      </c>
      <c r="K79" s="1278"/>
      <c r="L79" s="91"/>
      <c r="O79" s="580"/>
    </row>
    <row r="80" spans="1:15" ht="19.7" hidden="1" customHeight="1" x14ac:dyDescent="0.25">
      <c r="B80" s="1168" t="s">
        <v>534</v>
      </c>
      <c r="C80" s="1169"/>
      <c r="D80" s="1274"/>
      <c r="E80" s="1172">
        <f ca="1">IF(ISERROR(E39*100/E31)=TRUE,0,E39*100/E31)</f>
        <v>0</v>
      </c>
      <c r="F80" s="1279" t="s">
        <v>100</v>
      </c>
      <c r="G80" s="1172">
        <f ca="1">IF(ISERROR(G39*100/G31)=TRUE,0,G39*100/G31)</f>
        <v>0</v>
      </c>
      <c r="H80" s="1279" t="s">
        <v>100</v>
      </c>
      <c r="I80" s="1172">
        <f ca="1">IF(ISERROR(I39*100/I31)=TRUE,0,I39*100/I31)</f>
        <v>0</v>
      </c>
      <c r="J80" s="1280" t="s">
        <v>100</v>
      </c>
      <c r="K80" s="1278"/>
      <c r="L80" s="91"/>
      <c r="O80" s="580"/>
    </row>
    <row r="81" spans="1:14" ht="19.7" hidden="1" customHeight="1" x14ac:dyDescent="0.25">
      <c r="B81" s="1168" t="s">
        <v>535</v>
      </c>
      <c r="C81" s="1274"/>
      <c r="D81" s="1274"/>
      <c r="E81" s="1172">
        <f ca="1">IF(ISERROR(E68/E62)=TRUE,0,E68/E62)</f>
        <v>0</v>
      </c>
      <c r="F81" s="1279"/>
      <c r="G81" s="1172">
        <f ca="1">IF(ISERROR(G68/G62)=TRUE,0,G68/G62)</f>
        <v>0</v>
      </c>
      <c r="H81" s="1279"/>
      <c r="I81" s="1172">
        <f ca="1">IF(ISERROR(I68/I62)=TRUE,0,I68/I62)</f>
        <v>0</v>
      </c>
      <c r="J81" s="1280"/>
      <c r="K81" s="1278"/>
      <c r="L81" s="91"/>
    </row>
    <row r="82" spans="1:14" ht="19.7" hidden="1" customHeight="1" x14ac:dyDescent="0.25">
      <c r="B82" s="1168" t="s">
        <v>536</v>
      </c>
      <c r="C82" s="1274"/>
      <c r="D82" s="1274"/>
      <c r="E82" s="1172">
        <f ca="1">IF(ISERROR(E28/E62)=TRUE,0,E28/E62)</f>
        <v>0</v>
      </c>
      <c r="F82" s="1279"/>
      <c r="G82" s="1172">
        <f ca="1">IF(ISERROR(G28/G62)=TRUE,0,G28/G62)</f>
        <v>0</v>
      </c>
      <c r="H82" s="1279"/>
      <c r="I82" s="1172">
        <f ca="1">IF(ISERROR(I28/I62)=TRUE,0,I28/I62)</f>
        <v>0</v>
      </c>
      <c r="J82" s="1280"/>
      <c r="K82" s="1278"/>
      <c r="L82" s="91"/>
    </row>
    <row r="83" spans="1:14" ht="19.7" hidden="1" customHeight="1" x14ac:dyDescent="0.25">
      <c r="B83" s="1168" t="s">
        <v>537</v>
      </c>
      <c r="C83" s="1274"/>
      <c r="D83" s="1274"/>
      <c r="E83" s="1172">
        <f ca="1">IF(ISERROR((E15+E14)/(E62+E51))=TRUE,0,(E15+E14)/(E62+E51))</f>
        <v>0</v>
      </c>
      <c r="F83" s="1279"/>
      <c r="G83" s="1172">
        <f ca="1">IF(ISERROR((G15+G14)/(G62+G51))=TRUE,0,(G15+G14)/(G62+G51))</f>
        <v>0</v>
      </c>
      <c r="H83" s="1279"/>
      <c r="I83" s="1172">
        <f ca="1">IF(ISERROR((I15+I14)/(I62+I51))=TRUE,0,(I15+I14)/(I62+I51))</f>
        <v>0</v>
      </c>
      <c r="J83" s="1280"/>
      <c r="K83" s="1278"/>
      <c r="L83" s="91"/>
    </row>
    <row r="84" spans="1:14" ht="19.7" hidden="1" customHeight="1" x14ac:dyDescent="0.25">
      <c r="B84" s="1168" t="s">
        <v>538</v>
      </c>
      <c r="C84" s="1274"/>
      <c r="D84" s="1274"/>
      <c r="E84" s="1172">
        <f ca="1">IF(ISERROR('CUENTA DE RESULTADOS'!D27/('CUENTA DE RESULTADOS'!D14+'CUENTA DE RESULTADOS'!D18))=TRUE,0,'CUENTA DE RESULTADOS'!D27/('CUENTA DE RESULTADOS'!D14+'CUENTA DE RESULTADOS'!D18))</f>
        <v>0</v>
      </c>
      <c r="F84" s="1279"/>
      <c r="G84" s="1172">
        <f ca="1">IF(ISERROR('CUENTA DE RESULTADOS'!E27/('CUENTA DE RESULTADOS'!E14+'CUENTA DE RESULTADOS'!E18))=TRUE,0,'CUENTA DE RESULTADOS'!E27/('CUENTA DE RESULTADOS'!E14+'CUENTA DE RESULTADOS'!E18))</f>
        <v>0</v>
      </c>
      <c r="H84" s="1279"/>
      <c r="I84" s="1172">
        <f ca="1">IF(ISERROR('CUENTA DE RESULTADOS'!F27/('CUENTA DE RESULTADOS'!F14+'CUENTA DE RESULTADOS'!F18))=TRUE,0,'CUENTA DE RESULTADOS'!F27/('CUENTA DE RESULTADOS'!F14+'CUENTA DE RESULTADOS'!F18))</f>
        <v>0</v>
      </c>
      <c r="J84" s="1280"/>
      <c r="K84" s="1278"/>
      <c r="L84" s="91"/>
    </row>
    <row r="85" spans="1:14" ht="19.7" hidden="1" customHeight="1" x14ac:dyDescent="0.25">
      <c r="B85" s="1168" t="s">
        <v>539</v>
      </c>
      <c r="C85" s="1274"/>
      <c r="D85" s="1274"/>
      <c r="E85" s="1172">
        <f ca="1">IF(ISERROR(('CUENTA DE RESULTADOS'!D31/'CUENTA DE RESULTADOS'!D24)*(E31/E42))=TRUE,0,('CUENTA DE RESULTADOS'!D31/'CUENTA DE RESULTADOS'!D24)*(E31/E42))</f>
        <v>0</v>
      </c>
      <c r="F85" s="1279"/>
      <c r="G85" s="1172">
        <f ca="1">IF(ISERROR(('CUENTA DE RESULTADOS'!E31/'CUENTA DE RESULTADOS'!E24)*(G31/G42))=TRUE,0,('CUENTA DE RESULTADOS'!E31/'CUENTA DE RESULTADOS'!E24)*(G31/G42))</f>
        <v>0</v>
      </c>
      <c r="H85" s="1279"/>
      <c r="I85" s="1172">
        <f ca="1">IF(ISERROR(('CUENTA DE RESULTADOS'!F31/'CUENTA DE RESULTADOS'!F24)*(I31/I42))=TRUE,0,('CUENTA DE RESULTADOS'!F31/'CUENTA DE RESULTADOS'!F24)*(I31/I42))</f>
        <v>0</v>
      </c>
      <c r="J85" s="1280"/>
      <c r="K85" s="1278"/>
      <c r="L85" s="91"/>
    </row>
    <row r="86" spans="1:14" ht="19.7" hidden="1" customHeight="1" x14ac:dyDescent="0.25">
      <c r="B86" s="1168" t="s">
        <v>540</v>
      </c>
      <c r="C86" s="1274"/>
      <c r="D86" s="1274"/>
      <c r="E86" s="1172">
        <f ca="1">IF(ISERROR((E51+E62)/E64)=TRUE,0,(E51+E62)/E64)</f>
        <v>0</v>
      </c>
      <c r="F86" s="1279"/>
      <c r="G86" s="1172">
        <f ca="1">IF(ISERROR((G51+G62)/G64)=TRUE,0,(G51+G62)/G64)</f>
        <v>0</v>
      </c>
      <c r="H86" s="1279"/>
      <c r="I86" s="1172">
        <f ca="1">IF(ISERROR((I51+I62)/I64)=TRUE,0,(I51+I62)/I64)</f>
        <v>0</v>
      </c>
      <c r="J86" s="1280"/>
      <c r="K86" s="1278"/>
      <c r="L86" s="91"/>
    </row>
    <row r="87" spans="1:14" ht="19.7" hidden="1" customHeight="1" x14ac:dyDescent="0.25">
      <c r="B87" s="1168" t="s">
        <v>541</v>
      </c>
      <c r="C87" s="1274"/>
      <c r="D87" s="1274"/>
      <c r="E87" s="1172">
        <f ca="1">IF(ISERROR(('CUENTA DE RESULTADOS'!D14+'CUENTA DE RESULTADOS'!D18)/E29)=TRUE,0,('CUENTA DE RESULTADOS'!D14+'CUENTA DE RESULTADOS'!D18)/E29)</f>
        <v>0</v>
      </c>
      <c r="F87" s="1279"/>
      <c r="G87" s="1172">
        <f ca="1">IF(ISERROR(('CUENTA DE RESULTADOS'!E14+'CUENTA DE RESULTADOS'!E18)/G29)=TRUE,0,('CUENTA DE RESULTADOS'!E14+'CUENTA DE RESULTADOS'!E18)/G29)</f>
        <v>0</v>
      </c>
      <c r="H87" s="1279"/>
      <c r="I87" s="1172">
        <f ca="1">IF(ISERROR(('CUENTA DE RESULTADOS'!F14+'CUENTA DE RESULTADOS'!F18)/I29)=TRUE,0,('CUENTA DE RESULTADOS'!F14+'CUENTA DE RESULTADOS'!F18)/I29)</f>
        <v>0</v>
      </c>
      <c r="J87" s="1280"/>
      <c r="K87" s="1278"/>
      <c r="L87" s="91"/>
    </row>
    <row r="88" spans="1:14" ht="19.7" hidden="1" customHeight="1" x14ac:dyDescent="0.25">
      <c r="B88" s="1168" t="s">
        <v>542</v>
      </c>
      <c r="C88" s="1274"/>
      <c r="D88" s="1274"/>
      <c r="E88" s="1172" t="str">
        <f>IF(E22=0,"No procede",'CUENTA DE RESULTADOS'!D17/E22)</f>
        <v>No procede</v>
      </c>
      <c r="F88" s="1279"/>
      <c r="G88" s="1172" t="str">
        <f>IF(G22=0,"No procede",'CUENTA DE RESULTADOS'!E17/G22)</f>
        <v>No procede</v>
      </c>
      <c r="H88" s="1279"/>
      <c r="I88" s="1172" t="str">
        <f>IF(I22=0,"No procede",'CUENTA DE RESULTADOS'!F17/I22)</f>
        <v>No procede</v>
      </c>
      <c r="J88" s="1280"/>
      <c r="K88" s="1278"/>
      <c r="L88" s="91"/>
    </row>
    <row r="89" spans="1:14" ht="19.7" hidden="1" customHeight="1" x14ac:dyDescent="0.25">
      <c r="B89" s="1168" t="s">
        <v>543</v>
      </c>
      <c r="C89" s="1274"/>
      <c r="D89" s="1274"/>
      <c r="E89" s="1172">
        <f ca="1">IF(ISERROR(('CUENTA DE RESULTADOS'!D19+'CUENTA DE RESULTADOS'!D20+'CUENTA DE RESULTADOS'!D27)/(1-('CUENTA DE RESULTADOS'!D17/('CUENTA DE RESULTADOS'!D14+'CUENTA DE RESULTADOS'!D18))))=TRUE,0,('CUENTA DE RESULTADOS'!D19+'CUENTA DE RESULTADOS'!D20+'CUENTA DE RESULTADOS'!D27)/(1-('CUENTA DE RESULTADOS'!D17/('CUENTA DE RESULTADOS'!D14+'CUENTA DE RESULTADOS'!D18))))</f>
        <v>0</v>
      </c>
      <c r="F89" s="1279" t="s">
        <v>544</v>
      </c>
      <c r="G89" s="1172">
        <f ca="1">IF(ISERROR(('CUENTA DE RESULTADOS'!E19+'CUENTA DE RESULTADOS'!E20+'CUENTA DE RESULTADOS'!E27)/(1-('CUENTA DE RESULTADOS'!E17/('CUENTA DE RESULTADOS'!E14+'CUENTA DE RESULTADOS'!E18))))=TRUE,0,('CUENTA DE RESULTADOS'!E19+'CUENTA DE RESULTADOS'!E20+'CUENTA DE RESULTADOS'!E27)/(1-('CUENTA DE RESULTADOS'!E17/('CUENTA DE RESULTADOS'!E14+'CUENTA DE RESULTADOS'!E18))))</f>
        <v>0</v>
      </c>
      <c r="H89" s="1279" t="s">
        <v>544</v>
      </c>
      <c r="I89" s="1172">
        <f ca="1">IF(ISERROR(('CUENTA DE RESULTADOS'!F19+'CUENTA DE RESULTADOS'!F20+'CUENTA DE RESULTADOS'!F27)/(1-('CUENTA DE RESULTADOS'!F17/('CUENTA DE RESULTADOS'!F14+'CUENTA DE RESULTADOS'!F18))))=TRUE,0,('CUENTA DE RESULTADOS'!F19+'CUENTA DE RESULTADOS'!F20+'CUENTA DE RESULTADOS'!F27)/(1-('CUENTA DE RESULTADOS'!F17/('CUENTA DE RESULTADOS'!F14+'CUENTA DE RESULTADOS'!F18))))</f>
        <v>0</v>
      </c>
      <c r="J89" s="1280" t="s">
        <v>544</v>
      </c>
      <c r="K89" s="1278"/>
      <c r="L89" s="91"/>
    </row>
    <row r="90" spans="1:14" s="954" customFormat="1" ht="15.75" hidden="1" x14ac:dyDescent="0.25">
      <c r="A90" s="616"/>
      <c r="B90" s="1161" t="s">
        <v>545</v>
      </c>
      <c r="C90" s="1161"/>
      <c r="D90" s="1161"/>
      <c r="E90" s="1163">
        <f ca="1">IF(ISERROR((E64-E42)/E31)=TRUE,0,(E64-E42)/E31)</f>
        <v>0</v>
      </c>
      <c r="F90" s="1281"/>
      <c r="G90" s="1163">
        <f ca="1">IF(ISERROR((G64-G42)/G31)=TRUE,0,(G64-G42)/G31)</f>
        <v>0</v>
      </c>
      <c r="H90" s="1281"/>
      <c r="I90" s="1163">
        <f ca="1">IF(ISERROR((I64-I42)/I31)=TRUE,0,(I64-I42)/I31)</f>
        <v>0</v>
      </c>
      <c r="J90" s="1281"/>
      <c r="K90" s="1282"/>
      <c r="L90" s="91"/>
      <c r="M90" s="616"/>
      <c r="N90" s="616"/>
    </row>
    <row r="91" spans="1:14" ht="20.25" x14ac:dyDescent="0.3">
      <c r="B91" s="724" t="s">
        <v>546</v>
      </c>
      <c r="C91" s="726"/>
      <c r="D91" s="726"/>
      <c r="E91" s="728"/>
      <c r="F91" s="721"/>
      <c r="G91" s="721"/>
      <c r="H91" s="721"/>
      <c r="I91" s="721"/>
      <c r="M91" s="1177"/>
    </row>
    <row r="92" spans="1:14" s="91" customFormat="1" ht="15.75" x14ac:dyDescent="0.25">
      <c r="B92" s="340" t="s">
        <v>38</v>
      </c>
      <c r="C92" s="340"/>
      <c r="D92" s="340"/>
      <c r="E92" s="729">
        <f ca="1">IF(ISERROR((E29-E22)/E62)=TRUE,0,(E29-E22)/E62)</f>
        <v>0</v>
      </c>
      <c r="F92" s="1188"/>
      <c r="G92" s="729">
        <f ca="1">IF(ISERROR((G29-G22)/G62)=TRUE,0,(G29-G22)/G62)</f>
        <v>0</v>
      </c>
      <c r="H92" s="1188"/>
      <c r="I92" s="729">
        <f ca="1">IF(ISERROR((I29-I22)/I62)=TRUE,0,(I29-I22)/I62)</f>
        <v>0</v>
      </c>
      <c r="J92" s="1188"/>
      <c r="K92" s="1189"/>
      <c r="M92" s="1178" t="e">
        <f ca="1">(OFFSET(#REF!,0,#REF!+1,1,1))/100</f>
        <v>#REF!</v>
      </c>
      <c r="N92" s="1190"/>
    </row>
    <row r="93" spans="1:14" s="91" customFormat="1" ht="15.75" x14ac:dyDescent="0.25">
      <c r="B93" s="1182" t="s">
        <v>547</v>
      </c>
      <c r="C93" s="1182"/>
      <c r="D93" s="1182"/>
      <c r="E93" s="720">
        <f ca="1">IF(ISERROR(E29/E62)=TRUE,0,E29/E62)</f>
        <v>0</v>
      </c>
      <c r="F93" s="1183"/>
      <c r="G93" s="720">
        <f ca="1">IF(ISERROR(G29/G62)=TRUE,0,G29/G62)</f>
        <v>0</v>
      </c>
      <c r="H93" s="1183"/>
      <c r="I93" s="720">
        <f ca="1">IF(ISERROR(I29/I62)=TRUE,0,I29/I62)</f>
        <v>0</v>
      </c>
      <c r="J93" s="1183"/>
      <c r="K93" s="1189"/>
    </row>
    <row r="94" spans="1:14" ht="15.75" x14ac:dyDescent="0.25">
      <c r="B94" s="726"/>
      <c r="C94" s="726"/>
      <c r="D94" s="726"/>
      <c r="E94" s="728"/>
      <c r="F94" s="721"/>
      <c r="G94" s="728"/>
      <c r="H94" s="721"/>
      <c r="I94" s="728"/>
      <c r="J94" s="721"/>
      <c r="K94" s="721"/>
    </row>
    <row r="95" spans="1:14" ht="20.25" x14ac:dyDescent="0.3">
      <c r="B95" s="724" t="s">
        <v>548</v>
      </c>
      <c r="C95" s="726"/>
      <c r="D95" s="726"/>
      <c r="E95" s="728"/>
      <c r="F95" s="721"/>
      <c r="G95" s="728"/>
      <c r="H95" s="721"/>
      <c r="I95" s="728"/>
      <c r="J95" s="721"/>
      <c r="K95" s="721"/>
    </row>
    <row r="96" spans="1:14" s="91" customFormat="1" ht="15.75" x14ac:dyDescent="0.25">
      <c r="B96" s="340" t="s">
        <v>549</v>
      </c>
      <c r="C96" s="342"/>
      <c r="D96" s="342"/>
      <c r="E96" s="729" t="str">
        <f>IF(ROUND(E51,0)&lt;=0,"NO PROCEDE",IF(ISERROR((E29-E62)*100/E51)=TRUE,0,((E29-E62)*100/E51)))</f>
        <v>NO PROCEDE</v>
      </c>
      <c r="F96" s="1190" t="s">
        <v>100</v>
      </c>
      <c r="G96" s="729" t="str">
        <f>IF(ROUND(G51,0)&lt;=0,"NO PROCEDE",IF(ISERROR((G29-G62)*100/G51)=TRUE,0,((G29-G62)*100/G51)))</f>
        <v>NO PROCEDE</v>
      </c>
      <c r="H96" s="1190" t="s">
        <v>100</v>
      </c>
      <c r="I96" s="729" t="str">
        <f>IF(ROUND(I51,0)&lt;=0,"NO PROCEDE",IF(ISERROR((I29-I62)*100/I51)=TRUE,0,((I29-I62)*100/I51)))</f>
        <v>NO PROCEDE</v>
      </c>
      <c r="J96" s="1190" t="s">
        <v>100</v>
      </c>
      <c r="K96" s="1186"/>
      <c r="M96" s="729" t="e">
        <f ca="1">OFFSET(#REF!,0,#REF!+1,1,1)</f>
        <v>#REF!</v>
      </c>
      <c r="N96" s="1190" t="s">
        <v>100</v>
      </c>
    </row>
    <row r="97" spans="2:14" s="91" customFormat="1" ht="19.7" customHeight="1" x14ac:dyDescent="0.25">
      <c r="B97" s="726" t="s">
        <v>545</v>
      </c>
      <c r="E97" s="720">
        <f ca="1">IF(ISERROR((E67/E42)*100)=TRUE,0,(E67/E42)*100)</f>
        <v>0</v>
      </c>
      <c r="F97" s="1186" t="s">
        <v>100</v>
      </c>
      <c r="G97" s="720">
        <f ca="1">IF(ISERROR((G67/G42)*100)=TRUE,0,(G67/G42)*100)</f>
        <v>0</v>
      </c>
      <c r="H97" s="1186" t="s">
        <v>100</v>
      </c>
      <c r="I97" s="728">
        <f ca="1">IF(ISERROR((I67/I42)*100)=TRUE,0,(I67/I42)*100)</f>
        <v>0</v>
      </c>
      <c r="J97" s="1186" t="s">
        <v>100</v>
      </c>
      <c r="K97" s="1186"/>
      <c r="M97" s="720" t="e">
        <f ca="1">OFFSET(#REF!,0,#REF!+1,1,1)</f>
        <v>#REF!</v>
      </c>
      <c r="N97" s="1190" t="s">
        <v>100</v>
      </c>
    </row>
    <row r="98" spans="2:14" s="91" customFormat="1" ht="19.7" customHeight="1" x14ac:dyDescent="0.25">
      <c r="B98" s="1182" t="s">
        <v>550</v>
      </c>
      <c r="C98" s="1187"/>
      <c r="D98" s="1187"/>
      <c r="E98" s="720">
        <f ca="1">IF(ISERROR(E42/(E62+E51))=TRUE,0,E42/(E62+E51))</f>
        <v>0</v>
      </c>
      <c r="F98" s="1184"/>
      <c r="G98" s="720">
        <f ca="1">IF(ISERROR(G42/(G62+G51))=TRUE,0,G42/(G62+G51))</f>
        <v>0</v>
      </c>
      <c r="H98" s="1184"/>
      <c r="I98" s="720">
        <f ca="1">IF(ISERROR(I42/(I62+I51))=TRUE,0,I42/(I62+I51))</f>
        <v>0</v>
      </c>
      <c r="J98" s="1184"/>
      <c r="K98" s="1191"/>
    </row>
    <row r="99" spans="2:14" s="91" customFormat="1" ht="19.7" customHeight="1" x14ac:dyDescent="0.25">
      <c r="B99" s="1182" t="s">
        <v>551</v>
      </c>
      <c r="C99" s="1187"/>
      <c r="D99" s="1187"/>
      <c r="E99" s="720">
        <f ca="1">IF(ISERROR(E31/(E51+E62))=TRUE,0,E31/(E51+E62))</f>
        <v>0</v>
      </c>
      <c r="F99" s="1184"/>
      <c r="G99" s="720">
        <f ca="1">IF(ISERROR(G31/(G51+G62))=TRUE,0,G31/(G51+G62))</f>
        <v>0</v>
      </c>
      <c r="H99" s="1184"/>
      <c r="I99" s="720">
        <f ca="1">IF(ISERROR(I31/(I51+I62))=TRUE,0,I31/(I51+I62))</f>
        <v>0</v>
      </c>
      <c r="J99" s="1184"/>
      <c r="K99" s="1191"/>
    </row>
    <row r="100" spans="2:14" s="91" customFormat="1" ht="15.75" x14ac:dyDescent="0.25">
      <c r="B100" s="1182" t="s">
        <v>552</v>
      </c>
      <c r="C100" s="1182"/>
      <c r="D100" s="1182"/>
      <c r="E100" s="720">
        <f ca="1">IF(ISERROR(E62/(E51+E62))=TRUE,0,E62/(E51+E62))</f>
        <v>0</v>
      </c>
      <c r="F100" s="1183"/>
      <c r="G100" s="720">
        <f ca="1">IF(ISERROR(G62/(G51+G62))=TRUE,0,G62/(G51+G62))</f>
        <v>0</v>
      </c>
      <c r="H100" s="1183"/>
      <c r="I100" s="720">
        <f ca="1">IF(ISERROR(I62/(I51+I62))=TRUE,0,I62/(I51+I62))</f>
        <v>0</v>
      </c>
      <c r="J100" s="1183"/>
      <c r="K100" s="1189"/>
    </row>
    <row r="101" spans="2:14" s="91" customFormat="1" ht="15.75" x14ac:dyDescent="0.25">
      <c r="B101" s="1182" t="s">
        <v>553</v>
      </c>
      <c r="C101" s="1182"/>
      <c r="D101" s="1182"/>
      <c r="E101" s="720">
        <f ca="1">IF(ISERROR(E76/(E45+E46+E54+E55))=TRUE,0,E76/(E45+E46+E54+E55))</f>
        <v>0</v>
      </c>
      <c r="F101" s="1183"/>
      <c r="G101" s="720">
        <f ca="1">IF(ISERROR(G76/(G45+G46+G54+G55))=TRUE,0,G76/(G45+G46+G54+G55))</f>
        <v>0</v>
      </c>
      <c r="H101" s="1183"/>
      <c r="I101" s="720">
        <f ca="1">IF(ISERROR(I76/(I45+I46+I54+I55))=TRUE,0,I76/(I45+I46+I54+I55))</f>
        <v>0</v>
      </c>
      <c r="J101" s="1183"/>
      <c r="K101" s="1189"/>
    </row>
    <row r="102" spans="2:14" s="91" customFormat="1" ht="15.75" x14ac:dyDescent="0.25">
      <c r="B102" s="1182" t="s">
        <v>554</v>
      </c>
      <c r="C102" s="1182"/>
      <c r="D102" s="1182"/>
      <c r="E102" s="720">
        <f ca="1">IF(ISERROR(E68/E29)=TRUE,0,E68/E29)</f>
        <v>0</v>
      </c>
      <c r="F102" s="1183"/>
      <c r="G102" s="720">
        <f ca="1">IF(ISERROR(G68/G29)=TRUE,0,G68/G29)</f>
        <v>0</v>
      </c>
      <c r="H102" s="1183"/>
      <c r="I102" s="720">
        <f ca="1">IF(ISERROR(I68/I29)=TRUE,0,I68/I29)</f>
        <v>0</v>
      </c>
      <c r="J102" s="1183"/>
      <c r="K102" s="1189"/>
    </row>
    <row r="103" spans="2:14" s="91" customFormat="1" ht="15.75" x14ac:dyDescent="0.25">
      <c r="B103" s="1182" t="s">
        <v>555</v>
      </c>
      <c r="C103" s="1182"/>
      <c r="D103" s="1182"/>
      <c r="E103" s="720" t="str">
        <f>IF(E22=0,"No procede",E22/('CUENTA DE RESULTADOS'!D17/365))</f>
        <v>No procede</v>
      </c>
      <c r="F103" s="1184"/>
      <c r="G103" s="720" t="str">
        <f>IF(G22=0,"No procede",G22/('CUENTA DE RESULTADOS'!E17/365))</f>
        <v>No procede</v>
      </c>
      <c r="H103" s="1184"/>
      <c r="I103" s="720" t="str">
        <f>IF(I22=0,"No procede",I22/('CUENTA DE RESULTADOS'!F17/365))</f>
        <v>No procede</v>
      </c>
      <c r="J103" s="1184"/>
      <c r="K103" s="1191"/>
    </row>
    <row r="104" spans="2:14" s="91" customFormat="1" ht="15.75" x14ac:dyDescent="0.25">
      <c r="B104" s="1182" t="s">
        <v>556</v>
      </c>
      <c r="C104" s="1182"/>
      <c r="D104" s="1182"/>
      <c r="E104" s="720">
        <f ca="1">IF(ISERROR(E59/E24)=TRUE,0,E59/E24)</f>
        <v>0</v>
      </c>
      <c r="F104" s="1183"/>
      <c r="G104" s="720">
        <f ca="1">IF(ISERROR(G59/G24)=TRUE,0,G59/G24)</f>
        <v>0</v>
      </c>
      <c r="H104" s="1183"/>
      <c r="I104" s="720">
        <f ca="1">IF(ISERROR(I59/I24)=TRUE,0,I59/I24)</f>
        <v>0</v>
      </c>
      <c r="J104" s="1183"/>
      <c r="K104" s="1189"/>
    </row>
    <row r="105" spans="2:14" ht="15.75" x14ac:dyDescent="0.25">
      <c r="B105" s="726"/>
      <c r="C105" s="726"/>
      <c r="D105" s="726"/>
      <c r="E105" s="728"/>
      <c r="F105" s="721"/>
      <c r="G105" s="728"/>
      <c r="H105" s="721"/>
      <c r="I105" s="728"/>
      <c r="J105" s="721"/>
      <c r="K105" s="721"/>
    </row>
    <row r="106" spans="2:14" ht="20.25" x14ac:dyDescent="0.3">
      <c r="B106" s="724" t="s">
        <v>557</v>
      </c>
      <c r="C106" s="726"/>
      <c r="D106" s="726"/>
      <c r="E106" s="728"/>
      <c r="F106" s="721"/>
      <c r="G106" s="728"/>
      <c r="H106" s="721"/>
      <c r="I106" s="728"/>
      <c r="J106" s="721"/>
      <c r="K106" s="721"/>
    </row>
    <row r="107" spans="2:14" ht="15.75" x14ac:dyDescent="0.25">
      <c r="B107" s="1182" t="s">
        <v>409</v>
      </c>
      <c r="C107" s="1182"/>
      <c r="D107" s="1182"/>
      <c r="E107" s="829">
        <f ca="1">IF(ISERROR(('CUENTA DE RESULTADOS'!D19+'CUENTA DE RESULTADOS'!D20+'CUENTA DE RESULTADOS'!D27)/E110*100)=TRUE,0,('CUENTA DE RESULTADOS'!D19+'CUENTA DE RESULTADOS'!D20+'CUENTA DE RESULTADOS'!D27)/E110*100)</f>
        <v>0</v>
      </c>
      <c r="F107" s="1185" t="s">
        <v>544</v>
      </c>
      <c r="G107" s="829">
        <f ca="1">IF(ISERROR(('CUENTA DE RESULTADOS'!E19+'CUENTA DE RESULTADOS'!E20+'CUENTA DE RESULTADOS'!E27)/G110*100)=TRUE,0,('CUENTA DE RESULTADOS'!E19+'CUENTA DE RESULTADOS'!E20+'CUENTA DE RESULTADOS'!E27)/G110*100)</f>
        <v>0</v>
      </c>
      <c r="H107" s="1185" t="s">
        <v>544</v>
      </c>
      <c r="I107" s="829">
        <f ca="1">IF(ISERROR(('CUENTA DE RESULTADOS'!F19+'CUENTA DE RESULTADOS'!F20+'CUENTA DE RESULTADOS'!F27)/I110*100)=TRUE,0,('CUENTA DE RESULTADOS'!F19+'CUENTA DE RESULTADOS'!F20+'CUENTA DE RESULTADOS'!F27)/I110*100)</f>
        <v>0</v>
      </c>
      <c r="J107" s="1185" t="s">
        <v>544</v>
      </c>
      <c r="K107" s="721"/>
    </row>
    <row r="108" spans="2:14" s="91" customFormat="1" ht="19.7" customHeight="1" x14ac:dyDescent="0.25">
      <c r="B108" s="340" t="s">
        <v>558</v>
      </c>
      <c r="C108" s="342"/>
      <c r="D108" s="342"/>
      <c r="E108" s="729">
        <f>IF(ISERROR(('CUENTA DE RESULTADOS'!D46/'CUENTA DE RESULTADOS'!D44)*100)=TRUE,0,('CUENTA DE RESULTADOS'!D46/'CUENTA DE RESULTADOS'!D44)*100)</f>
        <v>0</v>
      </c>
      <c r="F108" s="1190" t="s">
        <v>100</v>
      </c>
      <c r="G108" s="729">
        <f>IF(ISERROR(('CUENTA DE RESULTADOS'!E46/'CUENTA DE RESULTADOS'!E44)*100)=TRUE,0,('CUENTA DE RESULTADOS'!E46/'CUENTA DE RESULTADOS'!E44)*100)</f>
        <v>0</v>
      </c>
      <c r="H108" s="1190" t="s">
        <v>100</v>
      </c>
      <c r="I108" s="729">
        <f>IF(ISERROR(('CUENTA DE RESULTADOS'!F46/'CUENTA DE RESULTADOS'!F44)*100)=TRUE,0,('CUENTA DE RESULTADOS'!F46/'CUENTA DE RESULTADOS'!F44)*100)</f>
        <v>0</v>
      </c>
      <c r="J108" s="1190" t="s">
        <v>100</v>
      </c>
      <c r="K108" s="1186"/>
      <c r="M108" s="729" t="e">
        <f ca="1">OFFSET(#REF!,0,#REF!+1,1,1)</f>
        <v>#REF!</v>
      </c>
      <c r="N108" s="1190" t="s">
        <v>100</v>
      </c>
    </row>
    <row r="109" spans="2:14" s="91" customFormat="1" ht="19.7" customHeight="1" x14ac:dyDescent="0.25">
      <c r="B109" s="1182" t="s">
        <v>559</v>
      </c>
      <c r="C109" s="1187"/>
      <c r="D109" s="1187"/>
      <c r="E109" s="720">
        <f>IF(ISERROR(('CUENTA DE RESULTADOS'!D19/'CUENTA DE RESULTADOS'!D46)*100)=TRUE,0,('CUENTA DE RESULTADOS'!D19/'CUENTA DE RESULTADOS'!D46)*100)</f>
        <v>0</v>
      </c>
      <c r="F109" s="1185" t="s">
        <v>100</v>
      </c>
      <c r="G109" s="720">
        <f>IF(ISERROR(('CUENTA DE RESULTADOS'!E19/'CUENTA DE RESULTADOS'!E46)*100)=TRUE,0,('CUENTA DE RESULTADOS'!E19/'CUENTA DE RESULTADOS'!E46)*100)</f>
        <v>0</v>
      </c>
      <c r="H109" s="1185" t="s">
        <v>100</v>
      </c>
      <c r="I109" s="720">
        <f>IF(ISERROR(('CUENTA DE RESULTADOS'!F19/'CUENTA DE RESULTADOS'!F46)*100)=TRUE,0,('CUENTA DE RESULTADOS'!F19/'CUENTA DE RESULTADOS'!F46)*100)</f>
        <v>0</v>
      </c>
      <c r="J109" s="1185" t="s">
        <v>100</v>
      </c>
      <c r="K109" s="1186"/>
      <c r="M109" s="720" t="e">
        <f ca="1">OFFSET(#REF!,0,#REF!+1,1,1)</f>
        <v>#REF!</v>
      </c>
      <c r="N109" s="1190" t="s">
        <v>100</v>
      </c>
    </row>
    <row r="110" spans="2:14" s="91" customFormat="1" ht="15.75" x14ac:dyDescent="0.25">
      <c r="B110" s="340" t="s">
        <v>560</v>
      </c>
      <c r="C110" s="340"/>
      <c r="D110" s="340"/>
      <c r="E110" s="720">
        <f>IF(ISERROR('CUENTA DE RESULTADOS'!R63/'CUENTA DE RESULTADOS'!D14*100)=TRUE,0,'CUENTA DE RESULTADOS'!R63/'CUENTA DE RESULTADOS'!D14*100)</f>
        <v>0</v>
      </c>
      <c r="F110" s="1185"/>
      <c r="G110" s="720">
        <f>IF(ISERROR('CUENTA DE RESULTADOS'!Q143/'CUENTA DE RESULTADOS'!E14*100)=TRUE,0,'CUENTA DE RESULTADOS'!Q143/'CUENTA DE RESULTADOS'!E14*100)</f>
        <v>0</v>
      </c>
      <c r="H110" s="1185"/>
      <c r="I110" s="720">
        <f>IF(ISERROR('CUENTA DE RESULTADOS'!Q221/'CUENTA DE RESULTADOS'!F14*100)=TRUE,0,'CUENTA DE RESULTADOS'!Q221/'CUENTA DE RESULTADOS'!F14*100)</f>
        <v>0</v>
      </c>
      <c r="J110" s="1185"/>
      <c r="K110" s="1191"/>
      <c r="M110" s="720" t="e">
        <f ca="1">(OFFSET(#REF!,0,#REF!+1,1,1))/100</f>
        <v>#REF!</v>
      </c>
      <c r="N110" s="1190" t="s">
        <v>100</v>
      </c>
    </row>
    <row r="111" spans="2:14" ht="15.75" x14ac:dyDescent="0.25">
      <c r="B111" s="1182" t="s">
        <v>561</v>
      </c>
      <c r="C111" s="1182"/>
      <c r="D111" s="1182"/>
      <c r="E111" s="720">
        <f ca="1">IF(ISERROR(('CUENTA DE RESULTADOS'!D19+'CUENTA DE RESULTADOS'!D20+'CUENTA DE RESULTADOS'!D27)/'CUENTA DE RESULTADOS'!D14)=TRUE,0,('CUENTA DE RESULTADOS'!D19+'CUENTA DE RESULTADOS'!D20+'CUENTA DE RESULTADOS'!D27)/'CUENTA DE RESULTADOS'!D14)</f>
        <v>0</v>
      </c>
      <c r="F111" s="728"/>
      <c r="G111" s="720">
        <f ca="1">IF(ISERROR(('CUENTA DE RESULTADOS'!E19+'CUENTA DE RESULTADOS'!E20+'CUENTA DE RESULTADOS'!E27)/'CUENTA DE RESULTADOS'!E14)=TRUE,0,('CUENTA DE RESULTADOS'!E19+'CUENTA DE RESULTADOS'!E20+'CUENTA DE RESULTADOS'!E27)/'CUENTA DE RESULTADOS'!E14)</f>
        <v>0</v>
      </c>
      <c r="H111" s="728"/>
      <c r="I111" s="720">
        <f ca="1">IF(ISERROR(('CUENTA DE RESULTADOS'!F19+'CUENTA DE RESULTADOS'!F20+'CUENTA DE RESULTADOS'!F27)/'CUENTA DE RESULTADOS'!F14)=TRUE,0,('CUENTA DE RESULTADOS'!F19+'CUENTA DE RESULTADOS'!F20+'CUENTA DE RESULTADOS'!F27)/'CUENTA DE RESULTADOS'!F14)</f>
        <v>0</v>
      </c>
      <c r="J111" s="728"/>
      <c r="K111" s="728"/>
    </row>
    <row r="112" spans="2:14" ht="19.7" customHeight="1" x14ac:dyDescent="0.25">
      <c r="B112" s="1182" t="s">
        <v>562</v>
      </c>
      <c r="C112" s="1182"/>
      <c r="D112" s="1182"/>
      <c r="E112" s="829">
        <f ca="1">IF(ISERROR(E24*360/('CUENTA DE RESULTADOS'!D14+'CUENTA DE RESULTADOS'!D18))=TRUE,0,E24*360/('CUENTA DE RESULTADOS'!D14+'CUENTA DE RESULTADOS'!D18))</f>
        <v>0</v>
      </c>
      <c r="F112" s="1185" t="s">
        <v>563</v>
      </c>
      <c r="G112" s="829">
        <f ca="1">IF(ISERROR(G24*360/('CUENTA DE RESULTADOS'!E14+'CUENTA DE RESULTADOS'!E18))=TRUE,0,G24*360/('CUENTA DE RESULTADOS'!E14+'CUENTA DE RESULTADOS'!E18))</f>
        <v>0</v>
      </c>
      <c r="H112" s="1185" t="s">
        <v>563</v>
      </c>
      <c r="I112" s="829">
        <f ca="1">IF(ISERROR(I24*360/('CUENTA DE RESULTADOS'!F14+'CUENTA DE RESULTADOS'!F18))=TRUE,0,I24*360/('CUENTA DE RESULTADOS'!F14+'CUENTA DE RESULTADOS'!F18))</f>
        <v>0</v>
      </c>
      <c r="J112" s="1185" t="s">
        <v>563</v>
      </c>
      <c r="K112" s="1186"/>
    </row>
    <row r="113" spans="2:14" ht="19.7" customHeight="1" x14ac:dyDescent="0.25">
      <c r="B113" s="1182" t="s">
        <v>564</v>
      </c>
      <c r="C113" s="1182"/>
      <c r="D113" s="1182"/>
      <c r="E113" s="829">
        <f ca="1">IF(ISERROR(E59*360/'CUENTA DE RESULTADOS'!R57)=TRUE,0,E59*360/'CUENTA DE RESULTADOS'!R57)</f>
        <v>0</v>
      </c>
      <c r="F113" s="1185" t="s">
        <v>563</v>
      </c>
      <c r="G113" s="1181">
        <f ca="1">IF(ISERROR(G59*360/'CUENTA DE RESULTADOS'!Q137)=TRUE,0,G59*360/'CUENTA DE RESULTADOS'!Q137)</f>
        <v>0</v>
      </c>
      <c r="H113" s="1185" t="s">
        <v>563</v>
      </c>
      <c r="I113" s="829">
        <f ca="1">IF(ISERROR(I59*360/'CUENTA DE RESULTADOS'!Q215)=TRUE,0,I59*360/'CUENTA DE RESULTADOS'!Q215)</f>
        <v>0</v>
      </c>
      <c r="J113" s="1185" t="s">
        <v>563</v>
      </c>
      <c r="K113" s="1186"/>
    </row>
    <row r="114" spans="2:14" ht="15.75" x14ac:dyDescent="0.25">
      <c r="G114" s="88"/>
      <c r="K114" s="1186"/>
    </row>
    <row r="115" spans="2:14" ht="15.75" x14ac:dyDescent="0.25">
      <c r="B115" s="726"/>
      <c r="C115" s="726"/>
      <c r="D115" s="726"/>
      <c r="E115" s="728"/>
      <c r="F115" s="727"/>
      <c r="G115" s="728"/>
      <c r="H115" s="727"/>
      <c r="I115" s="728"/>
      <c r="J115" s="727"/>
      <c r="K115" s="727"/>
    </row>
    <row r="116" spans="2:14" ht="20.25" x14ac:dyDescent="0.3">
      <c r="B116" s="724" t="s">
        <v>565</v>
      </c>
      <c r="C116" s="726"/>
      <c r="D116" s="726"/>
      <c r="E116" s="728"/>
      <c r="F116" s="721"/>
      <c r="G116" s="728"/>
      <c r="H116" s="721"/>
      <c r="I116" s="728"/>
      <c r="J116" s="721"/>
      <c r="K116" s="721"/>
    </row>
    <row r="117" spans="2:14" s="91" customFormat="1" ht="19.7" customHeight="1" x14ac:dyDescent="0.25">
      <c r="B117" s="340" t="s">
        <v>566</v>
      </c>
      <c r="C117" s="342"/>
      <c r="D117" s="342"/>
      <c r="E117" s="729">
        <f ca="1">IF(E42&lt;0,"QUIEBRA",IF(ISERROR((('CUENTA DE RESULTADOS'!D24)/E31)*100)=TRUE,0,(('CUENTA DE RESULTADOS'!D24)/E31)*100))</f>
        <v>0</v>
      </c>
      <c r="F117" s="1190" t="s">
        <v>100</v>
      </c>
      <c r="G117" s="729">
        <f ca="1">IF(G42&lt;0,"QUIEBRA",IF(ISERROR((('CUENTA DE RESULTADOS'!E24)/G31)*100)=TRUE,0,(('CUENTA DE RESULTADOS'!E24)/G31)*100))</f>
        <v>0</v>
      </c>
      <c r="H117" s="1190" t="s">
        <v>100</v>
      </c>
      <c r="I117" s="729">
        <f ca="1">IF(I42&lt;0,"QUIEBRA",IF(ISERROR((('CUENTA DE RESULTADOS'!F24)/I31)*100)=TRUE,0,(('CUENTA DE RESULTADOS'!F24)/I31)*100))</f>
        <v>0</v>
      </c>
      <c r="J117" s="1190" t="s">
        <v>100</v>
      </c>
      <c r="K117" s="1186"/>
      <c r="M117" s="729" t="e">
        <f ca="1">OFFSET(#REF!,0,#REF!+1,1,1)</f>
        <v>#REF!</v>
      </c>
      <c r="N117" s="1190" t="s">
        <v>100</v>
      </c>
    </row>
    <row r="118" spans="2:14" s="91" customFormat="1" ht="15.75" x14ac:dyDescent="0.25">
      <c r="B118" s="340" t="s">
        <v>567</v>
      </c>
      <c r="C118" s="340"/>
      <c r="D118" s="340"/>
      <c r="E118" s="720">
        <f ca="1">IF(E42&lt;0,"QUIEBRA",IF(ISERROR(('CUENTA DE RESULTADOS'!D35/E42)*100)=TRUE,0,('CUENTA DE RESULTADOS'!D35/E42)*100))</f>
        <v>0</v>
      </c>
      <c r="F118" s="1190" t="s">
        <v>100</v>
      </c>
      <c r="G118" s="720">
        <f ca="1">IF(G42&lt;0,"QUIEBRA",IF(ISERROR(('CUENTA DE RESULTADOS'!E35/G42)*100)=TRUE,0,('CUENTA DE RESULTADOS'!E35/G42)*100))</f>
        <v>0</v>
      </c>
      <c r="H118" s="1190" t="s">
        <v>100</v>
      </c>
      <c r="I118" s="720">
        <f ca="1">IF(I42&lt;0,"QUIEBRA",IF(ISERROR(('CUENTA DE RESULTADOS'!F35/I42)*100)=TRUE,0,('CUENTA DE RESULTADOS'!F35/I42)*100))</f>
        <v>0</v>
      </c>
      <c r="J118" s="1190" t="s">
        <v>568</v>
      </c>
      <c r="K118" s="1186"/>
      <c r="M118" s="720" t="e">
        <f ca="1">OFFSET(#REF!,0,#REF!+1,1,1)</f>
        <v>#REF!</v>
      </c>
      <c r="N118" s="1185" t="s">
        <v>100</v>
      </c>
    </row>
    <row r="119" spans="2:14" s="91" customFormat="1" ht="15.75" x14ac:dyDescent="0.25">
      <c r="B119" s="340" t="s">
        <v>569</v>
      </c>
      <c r="C119" s="340"/>
      <c r="D119" s="340"/>
      <c r="E119" s="729">
        <f ca="1">IF(ISERROR(E39/E42)=TRUE,0,E39/E42)</f>
        <v>0</v>
      </c>
      <c r="F119" s="729"/>
      <c r="G119" s="729">
        <f ca="1">IF(ISERROR(G39/G42)=TRUE,0,G39/G42)</f>
        <v>0</v>
      </c>
      <c r="H119" s="729"/>
      <c r="I119" s="729">
        <f ca="1">IF(ISERROR(I39/I42)=TRUE,0,I39/I42)</f>
        <v>0</v>
      </c>
      <c r="J119" s="729"/>
      <c r="K119" s="728"/>
    </row>
    <row r="120" spans="2:14" s="91" customFormat="1" ht="15.75" x14ac:dyDescent="0.25">
      <c r="B120" s="1182" t="s">
        <v>570</v>
      </c>
      <c r="C120" s="1182"/>
      <c r="D120" s="1182"/>
      <c r="E120" s="720">
        <f ca="1">IF(ISERROR('CUENTA DE RESULTADOS'!D14/E31)=TRUE,0,'CUENTA DE RESULTADOS'!D14/E31)</f>
        <v>0</v>
      </c>
      <c r="F120" s="720"/>
      <c r="G120" s="720">
        <f ca="1">IF(ISERROR('CUENTA DE RESULTADOS'!E14/G31)=TRUE,0,'CUENTA DE RESULTADOS'!E14/G31)</f>
        <v>0</v>
      </c>
      <c r="H120" s="720"/>
      <c r="I120" s="720">
        <f ca="1">IF(ISERROR('CUENTA DE RESULTADOS'!F14/I31)=TRUE,0,'CUENTA DE RESULTADOS'!F14/I31)</f>
        <v>0</v>
      </c>
      <c r="J120" s="720"/>
      <c r="K120" s="728"/>
    </row>
    <row r="121" spans="2:14" s="91" customFormat="1" ht="15.75" x14ac:dyDescent="0.25">
      <c r="B121" s="1182" t="s">
        <v>571</v>
      </c>
      <c r="C121" s="1182"/>
      <c r="D121" s="1182"/>
      <c r="E121" s="720">
        <f ca="1">IF(ISERROR('CUENTA DE RESULTADOS'!D24/('CUENTA DE RESULTADOS'!D14+'CUENTA DE RESULTADOS'!D18))=TRUE,0,'CUENTA DE RESULTADOS'!D24/('CUENTA DE RESULTADOS'!D14+'CUENTA DE RESULTADOS'!D18))*100</f>
        <v>0</v>
      </c>
      <c r="F121" s="1184"/>
      <c r="G121" s="720">
        <f ca="1">IF(ISERROR('CUENTA DE RESULTADOS'!E24/('CUENTA DE RESULTADOS'!E14+'CUENTA DE RESULTADOS'!E18))=TRUE,0,'CUENTA DE RESULTADOS'!E24/('CUENTA DE RESULTADOS'!E14+'CUENTA DE RESULTADOS'!E18))*100</f>
        <v>0</v>
      </c>
      <c r="H121" s="1184"/>
      <c r="I121" s="720">
        <f ca="1">IF(ISERROR('CUENTA DE RESULTADOS'!F24/('CUENTA DE RESULTADOS'!F14+'CUENTA DE RESULTADOS'!F18))=TRUE,0,'CUENTA DE RESULTADOS'!F24/('CUENTA DE RESULTADOS'!F14+'CUENTA DE RESULTADOS'!F18))*100</f>
        <v>0</v>
      </c>
      <c r="J121" s="1184"/>
      <c r="K121" s="1191"/>
    </row>
    <row r="122" spans="2:14" s="91" customFormat="1" ht="15.75" x14ac:dyDescent="0.25">
      <c r="B122" s="1182" t="s">
        <v>572</v>
      </c>
      <c r="C122" s="1182"/>
      <c r="D122" s="1182"/>
      <c r="E122" s="720">
        <f ca="1">IF(ISERROR('CUENTA DE RESULTADOS'!D35/('CUENTA DE RESULTADOS'!D14+'CUENTA DE RESULTADOS'!D18))=TRUE,0,'CUENTA DE RESULTADOS'!D35/('CUENTA DE RESULTADOS'!D14+'CUENTA DE RESULTADOS'!D18))*100</f>
        <v>0</v>
      </c>
      <c r="F122" s="720"/>
      <c r="G122" s="720">
        <f ca="1">IF(ISERROR('CUENTA DE RESULTADOS'!E35/('CUENTA DE RESULTADOS'!E14+'CUENTA DE RESULTADOS'!E18))=TRUE,0,'CUENTA DE RESULTADOS'!E35/('CUENTA DE RESULTADOS'!E14+'CUENTA DE RESULTADOS'!E18))*100</f>
        <v>0</v>
      </c>
      <c r="H122" s="720"/>
      <c r="I122" s="720">
        <f ca="1">IF(ISERROR('CUENTA DE RESULTADOS'!F35/('CUENTA DE RESULTADOS'!F14+'CUENTA DE RESULTADOS'!F18))=TRUE,0,'CUENTA DE RESULTADOS'!F35/('CUENTA DE RESULTADOS'!F14+'CUENTA DE RESULTADOS'!F18))*100</f>
        <v>0</v>
      </c>
      <c r="J122" s="720"/>
      <c r="K122" s="728"/>
    </row>
    <row r="126" spans="2:14" x14ac:dyDescent="0.2">
      <c r="G126" s="88"/>
    </row>
    <row r="127" spans="2:14" x14ac:dyDescent="0.2">
      <c r="E127" s="318"/>
      <c r="G127" s="318"/>
      <c r="I127" s="318"/>
    </row>
  </sheetData>
  <sheetProtection password="CC4B" sheet="1"/>
  <mergeCells count="12">
    <mergeCell ref="B3:J3"/>
    <mergeCell ref="M73:N73"/>
    <mergeCell ref="M74:N74"/>
    <mergeCell ref="B7:G7"/>
    <mergeCell ref="E74:F74"/>
    <mergeCell ref="G74:H74"/>
    <mergeCell ref="I74:J74"/>
    <mergeCell ref="C11:D11"/>
    <mergeCell ref="E11:F11"/>
    <mergeCell ref="G11:H11"/>
    <mergeCell ref="I11:J11"/>
    <mergeCell ref="C72:J72"/>
  </mergeCells>
  <phoneticPr fontId="0" type="noConversion"/>
  <pageMargins left="0.75" right="0.75" top="1" bottom="1" header="0" footer="0"/>
  <pageSetup paperSize="9" scale="76" orientation="landscape" horizontalDpi="300"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2">
    <tabColor theme="6" tint="0.39997558519241921"/>
    <pageSetUpPr fitToPage="1"/>
  </sheetPr>
  <dimension ref="B1:L41"/>
  <sheetViews>
    <sheetView showGridLines="0" topLeftCell="A2" workbookViewId="0">
      <selection activeCell="L49" sqref="L49"/>
    </sheetView>
  </sheetViews>
  <sheetFormatPr baseColWidth="10" defaultColWidth="9.140625" defaultRowHeight="12.75" x14ac:dyDescent="0.2"/>
  <cols>
    <col min="1" max="1" width="7.42578125" customWidth="1"/>
    <col min="2" max="2" width="30.5703125" customWidth="1"/>
    <col min="3" max="3" width="14.85546875" customWidth="1"/>
    <col min="4" max="4" width="7.140625" customWidth="1"/>
    <col min="5" max="5" width="8" customWidth="1"/>
    <col min="6" max="256" width="11.42578125" customWidth="1"/>
  </cols>
  <sheetData>
    <row r="1" spans="2:12" s="546" customFormat="1" ht="9.75" hidden="1" customHeight="1" thickBot="1" x14ac:dyDescent="0.25"/>
    <row r="2" spans="2:12" ht="12.75" customHeight="1" x14ac:dyDescent="0.2"/>
    <row r="3" spans="2:12" x14ac:dyDescent="0.2">
      <c r="B3" s="226"/>
      <c r="C3" s="226"/>
    </row>
    <row r="4" spans="2:12" ht="20.25" x14ac:dyDescent="0.3">
      <c r="B4" s="107" t="str">
        <f>'Datos generales'!C6</f>
        <v>Nombre de la empresa</v>
      </c>
      <c r="C4" s="107"/>
    </row>
    <row r="7" spans="2:12" ht="15.75" x14ac:dyDescent="0.25">
      <c r="B7" s="138" t="s">
        <v>573</v>
      </c>
      <c r="C7" s="9"/>
      <c r="D7" s="12"/>
      <c r="G7" s="58"/>
      <c r="H7" s="58"/>
      <c r="I7" s="58"/>
    </row>
    <row r="8" spans="2:12" ht="15.75" x14ac:dyDescent="0.25">
      <c r="B8" s="138"/>
      <c r="C8" s="11"/>
      <c r="D8" s="12"/>
      <c r="J8" s="58"/>
    </row>
    <row r="9" spans="2:12" ht="13.5" thickBot="1" x14ac:dyDescent="0.25">
      <c r="E9" s="7"/>
      <c r="F9" s="7"/>
      <c r="G9" s="7"/>
      <c r="H9" s="7"/>
      <c r="I9" s="7"/>
      <c r="J9" s="7"/>
      <c r="K9" s="7"/>
      <c r="L9" s="7"/>
    </row>
    <row r="10" spans="2:12" ht="13.5" customHeight="1" thickTop="1" x14ac:dyDescent="0.2">
      <c r="B10" s="1382" t="s">
        <v>170</v>
      </c>
      <c r="C10" s="24" t="s">
        <v>171</v>
      </c>
      <c r="D10" s="1384" t="s">
        <v>574</v>
      </c>
      <c r="E10" s="1384"/>
      <c r="F10" s="1384" t="s">
        <v>575</v>
      </c>
      <c r="G10" s="1389" t="s">
        <v>576</v>
      </c>
      <c r="H10" s="1387" t="s">
        <v>577</v>
      </c>
      <c r="I10" s="1384" t="s">
        <v>578</v>
      </c>
      <c r="J10" s="1387" t="s">
        <v>579</v>
      </c>
      <c r="K10" s="1384" t="s">
        <v>580</v>
      </c>
      <c r="L10" s="1385" t="s">
        <v>581</v>
      </c>
    </row>
    <row r="11" spans="2:12" ht="24.75" customHeight="1" x14ac:dyDescent="0.2">
      <c r="B11" s="1383"/>
      <c r="C11" s="20" t="s">
        <v>176</v>
      </c>
      <c r="D11" s="21" t="s">
        <v>582</v>
      </c>
      <c r="E11" s="1245" t="s">
        <v>100</v>
      </c>
      <c r="F11" s="1353"/>
      <c r="G11" s="1390"/>
      <c r="H11" s="1388"/>
      <c r="I11" s="1353"/>
      <c r="J11" s="1388"/>
      <c r="K11" s="1353"/>
      <c r="L11" s="1386"/>
    </row>
    <row r="12" spans="2:12" s="7" customFormat="1" ht="11.25" x14ac:dyDescent="0.2">
      <c r="B12" s="233" t="s">
        <v>583</v>
      </c>
      <c r="C12" s="19">
        <f>IF(C25=0,0,".")</f>
        <v>0</v>
      </c>
      <c r="D12" s="19"/>
      <c r="E12" s="19"/>
      <c r="F12" s="19"/>
      <c r="G12" s="19"/>
      <c r="H12" s="19"/>
      <c r="I12" s="19"/>
      <c r="J12" s="19"/>
      <c r="K12" s="19"/>
      <c r="L12" s="240"/>
    </row>
    <row r="13" spans="2:12" s="7" customFormat="1" ht="11.25" x14ac:dyDescent="0.2">
      <c r="B13" s="16" t="str">
        <f>'Entrada Inver_Finan'!C28</f>
        <v>Edificios/Locales</v>
      </c>
      <c r="C13" s="54">
        <f>'Entrada Inver_Finan'!D28</f>
        <v>0</v>
      </c>
      <c r="D13" s="15">
        <f>'Entrada Inver_Finan'!E28</f>
        <v>50</v>
      </c>
      <c r="E13" s="18">
        <f t="shared" ref="E13:E24" si="0">IF(D13=0,0,1/D13)</f>
        <v>0.02</v>
      </c>
      <c r="F13" s="53">
        <f>'Entrada Inver_Finan'!F28</f>
        <v>0</v>
      </c>
      <c r="G13" s="53">
        <f>(C13+F13)*E13/12</f>
        <v>0</v>
      </c>
      <c r="H13" s="71">
        <f>G13*(13-'Datos generales'!$O$10)</f>
        <v>0</v>
      </c>
      <c r="I13" s="53">
        <f>'Entrada Inver_Finan'!G28</f>
        <v>0</v>
      </c>
      <c r="J13" s="71">
        <f>IF(D13&lt;=1,I13*E13+G13*('Datos generales'!$O$10-1),IF(D13&gt;=2,(C13+F13+I13)*E13))</f>
        <v>0</v>
      </c>
      <c r="K13" s="53">
        <f>'Entrada Inver_Finan'!H28</f>
        <v>0</v>
      </c>
      <c r="L13" s="72">
        <f t="shared" ref="L13:L24" si="1">IF(D13&lt;=1,K13*E13,IF(D13=2,(K13+I13)*E13,IF(D13&gt;=3,(C13+F13+I13+K13)*E13)))</f>
        <v>0</v>
      </c>
    </row>
    <row r="14" spans="2:12" s="7" customFormat="1" ht="11.25" x14ac:dyDescent="0.2">
      <c r="B14" s="16" t="str">
        <f>'Entrada Inver_Finan'!C29</f>
        <v>Instalaciones / Acondicionamiento</v>
      </c>
      <c r="C14" s="54">
        <f>'Entrada Inver_Finan'!D29</f>
        <v>0</v>
      </c>
      <c r="D14" s="15">
        <f>'Entrada Inver_Finan'!E29</f>
        <v>10</v>
      </c>
      <c r="E14" s="18">
        <f t="shared" si="0"/>
        <v>0.1</v>
      </c>
      <c r="F14" s="53">
        <f>'Entrada Inver_Finan'!F29</f>
        <v>0</v>
      </c>
      <c r="G14" s="53">
        <f t="shared" ref="G14:G24" si="2">(C14+F14)*E14/12</f>
        <v>0</v>
      </c>
      <c r="H14" s="71">
        <f>G14*(13-'Datos generales'!$O$10)</f>
        <v>0</v>
      </c>
      <c r="I14" s="53">
        <f>'Entrada Inver_Finan'!G29</f>
        <v>0</v>
      </c>
      <c r="J14" s="71">
        <f>IF(D14&lt;=1,I14*E14+G14*('Datos generales'!$O$10-1),IF(D14&gt;=2,(C14+F14+I14)*E14))</f>
        <v>0</v>
      </c>
      <c r="K14" s="53">
        <f>'Entrada Inver_Finan'!H29</f>
        <v>0</v>
      </c>
      <c r="L14" s="72">
        <f t="shared" si="1"/>
        <v>0</v>
      </c>
    </row>
    <row r="15" spans="2:12" s="7" customFormat="1" ht="11.25" x14ac:dyDescent="0.2">
      <c r="B15" s="16" t="str">
        <f>'Entrada Inver_Finan'!C30</f>
        <v>Maquinaria</v>
      </c>
      <c r="C15" s="54">
        <f>'Entrada Inver_Finan'!D30</f>
        <v>0</v>
      </c>
      <c r="D15" s="15">
        <f>'Entrada Inver_Finan'!E30</f>
        <v>12</v>
      </c>
      <c r="E15" s="18">
        <f t="shared" si="0"/>
        <v>8.3333333333333329E-2</v>
      </c>
      <c r="F15" s="53">
        <f>'Entrada Inver_Finan'!F30</f>
        <v>0</v>
      </c>
      <c r="G15" s="53">
        <f t="shared" si="2"/>
        <v>0</v>
      </c>
      <c r="H15" s="71">
        <f>G15*(13-'Datos generales'!$O$10)</f>
        <v>0</v>
      </c>
      <c r="I15" s="53">
        <f>'Entrada Inver_Finan'!G30</f>
        <v>0</v>
      </c>
      <c r="J15" s="71">
        <f>IF(D15&lt;=1,I15*E15+G15*('Datos generales'!$O$10-1),IF(D15&gt;=2,(C15+F15+I15)*E15))</f>
        <v>0</v>
      </c>
      <c r="K15" s="53">
        <f>'Entrada Inver_Finan'!H30</f>
        <v>0</v>
      </c>
      <c r="L15" s="72">
        <f t="shared" si="1"/>
        <v>0</v>
      </c>
    </row>
    <row r="16" spans="2:12" s="7" customFormat="1" ht="11.25" x14ac:dyDescent="0.2">
      <c r="B16" s="16" t="str">
        <f>'Entrada Inver_Finan'!C31</f>
        <v>Utillaje, herramientas,...</v>
      </c>
      <c r="C16" s="54">
        <f>'Entrada Inver_Finan'!D31</f>
        <v>0</v>
      </c>
      <c r="D16" s="15">
        <f>'Entrada Inver_Finan'!E31</f>
        <v>4</v>
      </c>
      <c r="E16" s="18">
        <f t="shared" si="0"/>
        <v>0.25</v>
      </c>
      <c r="F16" s="53">
        <f>'Entrada Inver_Finan'!F31</f>
        <v>0</v>
      </c>
      <c r="G16" s="53">
        <f t="shared" si="2"/>
        <v>0</v>
      </c>
      <c r="H16" s="71">
        <f>G16*(13-'Datos generales'!$O$10)</f>
        <v>0</v>
      </c>
      <c r="I16" s="53">
        <f>'Entrada Inver_Finan'!G31</f>
        <v>0</v>
      </c>
      <c r="J16" s="71">
        <f>IF(D16&lt;=1,I16*E16+G16*('Datos generales'!$O$10-1),IF(D16&gt;=2,(C16+F16+I16)*E16))</f>
        <v>0</v>
      </c>
      <c r="K16" s="53">
        <f>'Entrada Inver_Finan'!H31</f>
        <v>0</v>
      </c>
      <c r="L16" s="72">
        <f t="shared" si="1"/>
        <v>0</v>
      </c>
    </row>
    <row r="17" spans="2:12" s="7" customFormat="1" ht="11.25" x14ac:dyDescent="0.2">
      <c r="B17" s="16" t="str">
        <f>'Entrada Inver_Finan'!C32</f>
        <v>Mobiliario</v>
      </c>
      <c r="C17" s="54">
        <f>'Entrada Inver_Finan'!D32</f>
        <v>0</v>
      </c>
      <c r="D17" s="15">
        <f>'Entrada Inver_Finan'!E32</f>
        <v>10</v>
      </c>
      <c r="E17" s="18">
        <f t="shared" si="0"/>
        <v>0.1</v>
      </c>
      <c r="F17" s="53">
        <f>'Entrada Inver_Finan'!F32</f>
        <v>0</v>
      </c>
      <c r="G17" s="53">
        <f t="shared" si="2"/>
        <v>0</v>
      </c>
      <c r="H17" s="71">
        <f>G17*(13-'Datos generales'!$O$10)</f>
        <v>0</v>
      </c>
      <c r="I17" s="53">
        <f>'Entrada Inver_Finan'!G32</f>
        <v>0</v>
      </c>
      <c r="J17" s="71">
        <f>IF(D17&lt;=1,I17*E17+G17*('Datos generales'!$O$10-1),IF(D17&gt;=2,(C17+F17+I17)*E17))</f>
        <v>0</v>
      </c>
      <c r="K17" s="53">
        <f>'Entrada Inver_Finan'!H32</f>
        <v>0</v>
      </c>
      <c r="L17" s="72">
        <f t="shared" si="1"/>
        <v>0</v>
      </c>
    </row>
    <row r="18" spans="2:12" s="7" customFormat="1" ht="11.25" x14ac:dyDescent="0.2">
      <c r="B18" s="16" t="str">
        <f>'Entrada Inver_Finan'!C33</f>
        <v>Elementos de transporte</v>
      </c>
      <c r="C18" s="54">
        <f>'Entrada Inver_Finan'!D33</f>
        <v>0</v>
      </c>
      <c r="D18" s="15">
        <f>'Entrada Inver_Finan'!E33</f>
        <v>7</v>
      </c>
      <c r="E18" s="18">
        <f t="shared" si="0"/>
        <v>0.14285714285714285</v>
      </c>
      <c r="F18" s="53">
        <f>'Entrada Inver_Finan'!F33</f>
        <v>0</v>
      </c>
      <c r="G18" s="53">
        <f t="shared" si="2"/>
        <v>0</v>
      </c>
      <c r="H18" s="71">
        <f>G18*(13-'Datos generales'!$O$10)</f>
        <v>0</v>
      </c>
      <c r="I18" s="53">
        <f>'Entrada Inver_Finan'!G33</f>
        <v>0</v>
      </c>
      <c r="J18" s="71">
        <f>IF(D18&lt;=1,I18*E18+G18*('Datos generales'!$O$10-1),IF(D18&gt;=2,(C18+F18+I18)*E18))</f>
        <v>0</v>
      </c>
      <c r="K18" s="53">
        <f>'Entrada Inver_Finan'!H33</f>
        <v>0</v>
      </c>
      <c r="L18" s="72">
        <f t="shared" si="1"/>
        <v>0</v>
      </c>
    </row>
    <row r="19" spans="2:12" s="7" customFormat="1" ht="11.25" x14ac:dyDescent="0.2">
      <c r="B19" s="16" t="str">
        <f>'Entrada Inver_Finan'!C34</f>
        <v>Equipos informáticos</v>
      </c>
      <c r="C19" s="54">
        <f>'Entrada Inver_Finan'!D34</f>
        <v>0</v>
      </c>
      <c r="D19" s="15">
        <f>'Entrada Inver_Finan'!E34</f>
        <v>5</v>
      </c>
      <c r="E19" s="18">
        <f t="shared" si="0"/>
        <v>0.2</v>
      </c>
      <c r="F19" s="53">
        <f>'Entrada Inver_Finan'!F34</f>
        <v>0</v>
      </c>
      <c r="G19" s="53">
        <f t="shared" si="2"/>
        <v>0</v>
      </c>
      <c r="H19" s="71">
        <f>G19*(13-'Datos generales'!$O$10)</f>
        <v>0</v>
      </c>
      <c r="I19" s="53">
        <f>'Entrada Inver_Finan'!G34</f>
        <v>0</v>
      </c>
      <c r="J19" s="71">
        <f>IF(D19&lt;=1,I19*E19+G19*('Datos generales'!$O$10-1),IF(D19&gt;=2,(C19+F19+I19)*E19))</f>
        <v>0</v>
      </c>
      <c r="K19" s="53">
        <f>'Entrada Inver_Finan'!H34</f>
        <v>0</v>
      </c>
      <c r="L19" s="72">
        <f t="shared" si="1"/>
        <v>0</v>
      </c>
    </row>
    <row r="20" spans="2:12" s="7" customFormat="1" ht="11.25" x14ac:dyDescent="0.2">
      <c r="B20" s="16" t="str">
        <f>'Entrada Inver_Finan'!C35</f>
        <v>Otro inmovilizado material</v>
      </c>
      <c r="C20" s="54">
        <f>'Entrada Inver_Finan'!D35</f>
        <v>0</v>
      </c>
      <c r="D20" s="15">
        <f>'Entrada Inver_Finan'!E35</f>
        <v>0</v>
      </c>
      <c r="E20" s="18">
        <f t="shared" si="0"/>
        <v>0</v>
      </c>
      <c r="F20" s="53">
        <f>'Entrada Inver_Finan'!F35</f>
        <v>0</v>
      </c>
      <c r="G20" s="53">
        <f t="shared" si="2"/>
        <v>0</v>
      </c>
      <c r="H20" s="71">
        <f>G20*(13-'Datos generales'!$O$10)</f>
        <v>0</v>
      </c>
      <c r="I20" s="53">
        <f>'Entrada Inver_Finan'!G35</f>
        <v>0</v>
      </c>
      <c r="J20" s="71">
        <f>IF(D20&lt;=1,I20*E20+G20*('Datos generales'!$O$10-1),IF(D20&gt;=2,(C20+F20+I20)*E20))</f>
        <v>0</v>
      </c>
      <c r="K20" s="53">
        <f>'Entrada Inver_Finan'!H35</f>
        <v>0</v>
      </c>
      <c r="L20" s="72">
        <f t="shared" si="1"/>
        <v>0</v>
      </c>
    </row>
    <row r="21" spans="2:12" s="7" customFormat="1" ht="11.25" x14ac:dyDescent="0.2">
      <c r="B21" s="16">
        <f>'Entrada Inver_Finan'!C36</f>
        <v>0</v>
      </c>
      <c r="C21" s="54">
        <f>'Entrada Inver_Finan'!D36</f>
        <v>0</v>
      </c>
      <c r="D21" s="15">
        <f>'Entrada Inver_Finan'!E36</f>
        <v>0</v>
      </c>
      <c r="E21" s="18">
        <f t="shared" si="0"/>
        <v>0</v>
      </c>
      <c r="F21" s="53">
        <f>'Entrada Inver_Finan'!F36</f>
        <v>0</v>
      </c>
      <c r="G21" s="53">
        <f t="shared" si="2"/>
        <v>0</v>
      </c>
      <c r="H21" s="71">
        <f>G21*(13-'Datos generales'!$O$10)</f>
        <v>0</v>
      </c>
      <c r="I21" s="53">
        <f>'Entrada Inver_Finan'!G36</f>
        <v>0</v>
      </c>
      <c r="J21" s="71">
        <f>IF(D21&lt;=1,I21*E21+G21*('Datos generales'!$O$10-1),IF(D21&gt;=2,(C21+F21+I21)*E21))</f>
        <v>0</v>
      </c>
      <c r="K21" s="53">
        <f>'Entrada Inver_Finan'!H36</f>
        <v>0</v>
      </c>
      <c r="L21" s="72">
        <f t="shared" si="1"/>
        <v>0</v>
      </c>
    </row>
    <row r="22" spans="2:12" s="7" customFormat="1" ht="11.25" x14ac:dyDescent="0.2">
      <c r="B22" s="16">
        <f>'Entrada Inver_Finan'!C37</f>
        <v>0</v>
      </c>
      <c r="C22" s="17">
        <f>'Entrada Inver_Finan'!D37</f>
        <v>0</v>
      </c>
      <c r="D22" s="15">
        <f>'Entrada Inver_Finan'!E37</f>
        <v>0</v>
      </c>
      <c r="E22" s="18">
        <f t="shared" si="0"/>
        <v>0</v>
      </c>
      <c r="F22" s="19">
        <f>'Entrada Inver_Finan'!F37</f>
        <v>0</v>
      </c>
      <c r="G22" s="53">
        <f t="shared" si="2"/>
        <v>0</v>
      </c>
      <c r="H22" s="71">
        <f>G22*(13-'Datos generales'!$O$10)</f>
        <v>0</v>
      </c>
      <c r="I22" s="19">
        <f>'Entrada Inver_Finan'!G37</f>
        <v>0</v>
      </c>
      <c r="J22" s="71">
        <f>IF(D22&lt;=1,I22*E22+G22*('Datos generales'!$O$10-1),IF(D22&gt;=2,(C22+F22+I22)*E22))</f>
        <v>0</v>
      </c>
      <c r="K22" s="19">
        <f>'Entrada Inver_Finan'!H37</f>
        <v>0</v>
      </c>
      <c r="L22" s="72">
        <f t="shared" si="1"/>
        <v>0</v>
      </c>
    </row>
    <row r="23" spans="2:12" s="7" customFormat="1" ht="11.25" x14ac:dyDescent="0.2">
      <c r="B23" s="16" t="str">
        <f>'Entrada Inver_Finan'!C38</f>
        <v>Edificios /Locales de segunda mano</v>
      </c>
      <c r="C23" s="17">
        <f>'Entrada Inver_Finan'!D38</f>
        <v>0</v>
      </c>
      <c r="D23" s="15">
        <f>'Entrada Inver_Finan'!E38</f>
        <v>0</v>
      </c>
      <c r="E23" s="18">
        <f t="shared" si="0"/>
        <v>0</v>
      </c>
      <c r="F23" s="19">
        <f>'Entrada Inver_Finan'!F38</f>
        <v>0</v>
      </c>
      <c r="G23" s="53">
        <f t="shared" si="2"/>
        <v>0</v>
      </c>
      <c r="H23" s="71">
        <f>G23*(13-'Datos generales'!$O$10)</f>
        <v>0</v>
      </c>
      <c r="I23" s="19">
        <f>'Entrada Inver_Finan'!G38</f>
        <v>0</v>
      </c>
      <c r="J23" s="71">
        <f>IF(D23&lt;=1,I23*E23+G23*('Datos generales'!$O$10-1),IF(D23&gt;=2,(C23+F23+I23)*E23))</f>
        <v>0</v>
      </c>
      <c r="K23" s="19">
        <f>'Entrada Inver_Finan'!H38</f>
        <v>0</v>
      </c>
      <c r="L23" s="72">
        <f t="shared" si="1"/>
        <v>0</v>
      </c>
    </row>
    <row r="24" spans="2:12" s="7" customFormat="1" ht="11.25" x14ac:dyDescent="0.2">
      <c r="B24" s="16" t="str">
        <f>'Entrada Inver_Finan'!C39</f>
        <v>Solares sin edificar</v>
      </c>
      <c r="C24" s="17">
        <f>'Entrada Inver_Finan'!D39</f>
        <v>0</v>
      </c>
      <c r="D24" s="15">
        <f>'Entrada Inver_Finan'!E39</f>
        <v>0</v>
      </c>
      <c r="E24" s="18">
        <f t="shared" si="0"/>
        <v>0</v>
      </c>
      <c r="F24" s="19">
        <f>'Entrada Inver_Finan'!F39</f>
        <v>0</v>
      </c>
      <c r="G24" s="53">
        <f t="shared" si="2"/>
        <v>0</v>
      </c>
      <c r="H24" s="71">
        <f>G24*(13-'Datos generales'!$O$10)</f>
        <v>0</v>
      </c>
      <c r="I24" s="19">
        <f>'Entrada Inver_Finan'!G39</f>
        <v>0</v>
      </c>
      <c r="J24" s="71">
        <f>IF(D24&lt;=1,I24*E24+G24*('Datos generales'!$O$10-1),IF(D24&gt;=2,(C24+F24+I24)*E24))</f>
        <v>0</v>
      </c>
      <c r="K24" s="19">
        <f>'Entrada Inver_Finan'!H39</f>
        <v>0</v>
      </c>
      <c r="L24" s="72">
        <f t="shared" si="1"/>
        <v>0</v>
      </c>
    </row>
    <row r="25" spans="2:12" s="7" customFormat="1" ht="11.25" x14ac:dyDescent="0.2">
      <c r="B25" s="227" t="s">
        <v>584</v>
      </c>
      <c r="C25" s="228">
        <f>SUM(C13:C24)</f>
        <v>0</v>
      </c>
      <c r="D25" s="229"/>
      <c r="E25" s="230"/>
      <c r="F25" s="231">
        <f t="shared" ref="F25:L25" si="3">SUM(F13:F24)</f>
        <v>0</v>
      </c>
      <c r="G25" s="231">
        <f t="shared" si="3"/>
        <v>0</v>
      </c>
      <c r="H25" s="231">
        <f t="shared" si="3"/>
        <v>0</v>
      </c>
      <c r="I25" s="231">
        <f t="shared" si="3"/>
        <v>0</v>
      </c>
      <c r="J25" s="231">
        <f t="shared" si="3"/>
        <v>0</v>
      </c>
      <c r="K25" s="231">
        <f t="shared" si="3"/>
        <v>0</v>
      </c>
      <c r="L25" s="232">
        <f t="shared" si="3"/>
        <v>0</v>
      </c>
    </row>
    <row r="26" spans="2:12" s="7" customFormat="1" ht="11.25" x14ac:dyDescent="0.2">
      <c r="B26" s="234" t="s">
        <v>585</v>
      </c>
      <c r="C26" s="19">
        <f>IF(C36=0,0,".")</f>
        <v>0</v>
      </c>
      <c r="D26" s="19"/>
      <c r="E26" s="19"/>
      <c r="F26" s="19"/>
      <c r="G26" s="19"/>
      <c r="H26" s="19"/>
      <c r="I26" s="19"/>
      <c r="J26" s="19"/>
      <c r="K26" s="19"/>
      <c r="L26" s="240"/>
    </row>
    <row r="27" spans="2:12" s="7" customFormat="1" ht="11.25" x14ac:dyDescent="0.2">
      <c r="B27" s="16" t="str">
        <f>'Entrada Inver_Finan'!C42</f>
        <v>Aplicaciones Informáticas</v>
      </c>
      <c r="C27" s="54">
        <f>'Entrada Inver_Finan'!D42</f>
        <v>0</v>
      </c>
      <c r="D27" s="15">
        <f>'Entrada Inver_Finan'!E42</f>
        <v>3</v>
      </c>
      <c r="E27" s="18">
        <f>IF(D27=0,0,1/D27)</f>
        <v>0.33333333333333331</v>
      </c>
      <c r="F27" s="53">
        <f>'Entrada Inver_Finan'!F42</f>
        <v>0</v>
      </c>
      <c r="G27" s="53">
        <f t="shared" ref="G27:G35" si="4">(C27+F27)*E27/12</f>
        <v>0</v>
      </c>
      <c r="H27" s="71">
        <f>G27*(13-'Datos generales'!$O$10)</f>
        <v>0</v>
      </c>
      <c r="I27" s="53">
        <f>'Entrada Inver_Finan'!G42</f>
        <v>0</v>
      </c>
      <c r="J27" s="71">
        <f>IF(D27&lt;=1,I27*E27+G27*('Datos generales'!$O$10-1),IF(D27&gt;=2,(C27+F27+I27)*E27))</f>
        <v>0</v>
      </c>
      <c r="K27" s="53">
        <f>'Entrada Inver_Finan'!H42</f>
        <v>0</v>
      </c>
      <c r="L27" s="72">
        <f t="shared" ref="L27:L35" si="5">IF(D27&lt;=1,K27*E27,IF(D27=2,(K27+I27)*E27,IF(D27&gt;=3,(C27+F27+I27+K27)*E27)))</f>
        <v>0</v>
      </c>
    </row>
    <row r="28" spans="2:12" s="7" customFormat="1" ht="11.25" x14ac:dyDescent="0.2">
      <c r="B28" s="16" t="str">
        <f>'Entrada Inver_Finan'!C43</f>
        <v>Licencias y concesiones administrativas</v>
      </c>
      <c r="C28" s="54">
        <f>'Entrada Inver_Finan'!D43</f>
        <v>0</v>
      </c>
      <c r="D28" s="15">
        <f>'Entrada Inver_Finan'!E43</f>
        <v>5</v>
      </c>
      <c r="E28" s="18">
        <f t="shared" ref="E28:E35" si="6">IF(D28=0,0,1/D28)</f>
        <v>0.2</v>
      </c>
      <c r="F28" s="53">
        <f>'Entrada Inver_Finan'!F43</f>
        <v>0</v>
      </c>
      <c r="G28" s="53">
        <f t="shared" si="4"/>
        <v>0</v>
      </c>
      <c r="H28" s="71">
        <f>G28*(13-'Datos generales'!$O$10)</f>
        <v>0</v>
      </c>
      <c r="I28" s="53">
        <f>'Entrada Inver_Finan'!G43</f>
        <v>0</v>
      </c>
      <c r="J28" s="71">
        <f>IF(D28&lt;=1,I28*E28+G28*('Datos generales'!$O$10-1),IF(D28&gt;=2,(C28+F28+I28)*E28))</f>
        <v>0</v>
      </c>
      <c r="K28" s="53">
        <f>'Entrada Inver_Finan'!H43</f>
        <v>0</v>
      </c>
      <c r="L28" s="72">
        <f t="shared" si="5"/>
        <v>0</v>
      </c>
    </row>
    <row r="29" spans="2:12" s="7" customFormat="1" ht="11.25" x14ac:dyDescent="0.2">
      <c r="B29" s="16" t="str">
        <f>'Entrada Inver_Finan'!C44</f>
        <v>Propiedad Industrial</v>
      </c>
      <c r="C29" s="54">
        <f>'Entrada Inver_Finan'!D44</f>
        <v>0</v>
      </c>
      <c r="D29" s="15">
        <f>'Entrada Inver_Finan'!E44</f>
        <v>5</v>
      </c>
      <c r="E29" s="18">
        <f t="shared" si="6"/>
        <v>0.2</v>
      </c>
      <c r="F29" s="53">
        <f>'Entrada Inver_Finan'!F44</f>
        <v>0</v>
      </c>
      <c r="G29" s="53">
        <f t="shared" si="4"/>
        <v>0</v>
      </c>
      <c r="H29" s="71">
        <f>G29*(13-'Datos generales'!$O$10)</f>
        <v>0</v>
      </c>
      <c r="I29" s="53">
        <f>'Entrada Inver_Finan'!G44</f>
        <v>0</v>
      </c>
      <c r="J29" s="71">
        <f>IF(D29&lt;=1,I29*E29+G29*('Datos generales'!$O$10-1),IF(D29&gt;=2,(C29+F29+I29)*E29))</f>
        <v>0</v>
      </c>
      <c r="K29" s="53">
        <f>'Entrada Inver_Finan'!H44</f>
        <v>0</v>
      </c>
      <c r="L29" s="72">
        <f t="shared" si="5"/>
        <v>0</v>
      </c>
    </row>
    <row r="30" spans="2:12" s="7" customFormat="1" ht="11.25" x14ac:dyDescent="0.2">
      <c r="B30" s="16" t="str">
        <f>'Entrada Inver_Finan'!C45</f>
        <v>Investigación y desarrrollo</v>
      </c>
      <c r="C30" s="54">
        <f>'Entrada Inver_Finan'!D45</f>
        <v>0</v>
      </c>
      <c r="D30" s="15">
        <f>'Entrada Inver_Finan'!E45</f>
        <v>3</v>
      </c>
      <c r="E30" s="18">
        <f t="shared" si="6"/>
        <v>0.33333333333333331</v>
      </c>
      <c r="F30" s="53">
        <f>'Entrada Inver_Finan'!F45</f>
        <v>0</v>
      </c>
      <c r="G30" s="53">
        <f t="shared" si="4"/>
        <v>0</v>
      </c>
      <c r="H30" s="71">
        <f>G30*(13-'Datos generales'!$O$10)</f>
        <v>0</v>
      </c>
      <c r="I30" s="53">
        <f>'Entrada Inver_Finan'!G45</f>
        <v>0</v>
      </c>
      <c r="J30" s="71">
        <f>IF(D30&lt;=1,I30*E30+G30*('Datos generales'!$O$10-1),IF(D30&gt;=2,(C30+F30+I30)*E30))</f>
        <v>0</v>
      </c>
      <c r="K30" s="53">
        <f>'Entrada Inver_Finan'!H45</f>
        <v>0</v>
      </c>
      <c r="L30" s="72">
        <f t="shared" si="5"/>
        <v>0</v>
      </c>
    </row>
    <row r="31" spans="2:12" s="7" customFormat="1" ht="11.25" x14ac:dyDescent="0.2">
      <c r="B31" s="16" t="str">
        <f>'Entrada Inver_Finan'!C46</f>
        <v>Otro inmovilizado intangible</v>
      </c>
      <c r="C31" s="54">
        <f>'Entrada Inver_Finan'!D46</f>
        <v>0</v>
      </c>
      <c r="D31" s="15">
        <f>'Entrada Inver_Finan'!E46</f>
        <v>0</v>
      </c>
      <c r="E31" s="18">
        <f t="shared" si="6"/>
        <v>0</v>
      </c>
      <c r="F31" s="53">
        <f>'Entrada Inver_Finan'!F46</f>
        <v>0</v>
      </c>
      <c r="G31" s="53">
        <f t="shared" si="4"/>
        <v>0</v>
      </c>
      <c r="H31" s="71">
        <f>G31*(13-'Datos generales'!$O$10)</f>
        <v>0</v>
      </c>
      <c r="I31" s="53">
        <f>'Entrada Inver_Finan'!G46</f>
        <v>0</v>
      </c>
      <c r="J31" s="71">
        <f>IF(D31&lt;=1,I31*E31+G31*('Datos generales'!$O$10-1),IF(D31&gt;=2,(C31+F31+I31)*E31))</f>
        <v>0</v>
      </c>
      <c r="K31" s="53">
        <f>'Entrada Inver_Finan'!H46</f>
        <v>0</v>
      </c>
      <c r="L31" s="72">
        <f t="shared" si="5"/>
        <v>0</v>
      </c>
    </row>
    <row r="32" spans="2:12" s="7" customFormat="1" ht="11.25" x14ac:dyDescent="0.2">
      <c r="B32" s="16">
        <f>'Entrada Inver_Finan'!C47</f>
        <v>0</v>
      </c>
      <c r="C32" s="54">
        <f>'Entrada Inver_Finan'!D47</f>
        <v>0</v>
      </c>
      <c r="D32" s="15">
        <f>'Entrada Inver_Finan'!E47</f>
        <v>0</v>
      </c>
      <c r="E32" s="18">
        <f t="shared" si="6"/>
        <v>0</v>
      </c>
      <c r="F32" s="53">
        <f>'Entrada Inver_Finan'!F47</f>
        <v>0</v>
      </c>
      <c r="G32" s="53">
        <f t="shared" si="4"/>
        <v>0</v>
      </c>
      <c r="H32" s="71">
        <f>G32*(13-'Datos generales'!$O$10)</f>
        <v>0</v>
      </c>
      <c r="I32" s="53">
        <f>'Entrada Inver_Finan'!G47</f>
        <v>0</v>
      </c>
      <c r="J32" s="71">
        <f>IF(D32&lt;=1,I32*E32+G32*('Datos generales'!$O$10-1),IF(D32&gt;=2,(C32+F32+I32)*E32))</f>
        <v>0</v>
      </c>
      <c r="K32" s="53">
        <f>'Entrada Inver_Finan'!H47</f>
        <v>0</v>
      </c>
      <c r="L32" s="72">
        <f t="shared" si="5"/>
        <v>0</v>
      </c>
    </row>
    <row r="33" spans="2:12" s="7" customFormat="1" ht="11.25" x14ac:dyDescent="0.2">
      <c r="B33" s="16">
        <f>'Entrada Inver_Finan'!C48</f>
        <v>0</v>
      </c>
      <c r="C33" s="54">
        <f>'Entrada Inver_Finan'!D48</f>
        <v>0</v>
      </c>
      <c r="D33" s="15">
        <f>'Entrada Inver_Finan'!E48</f>
        <v>0</v>
      </c>
      <c r="E33" s="18">
        <f t="shared" si="6"/>
        <v>0</v>
      </c>
      <c r="F33" s="53">
        <f>'Entrada Inver_Finan'!F48</f>
        <v>0</v>
      </c>
      <c r="G33" s="53">
        <f t="shared" si="4"/>
        <v>0</v>
      </c>
      <c r="H33" s="71">
        <f>G33*(13-'Datos generales'!$O$10)</f>
        <v>0</v>
      </c>
      <c r="I33" s="53">
        <f>'Entrada Inver_Finan'!G48</f>
        <v>0</v>
      </c>
      <c r="J33" s="71">
        <f>IF(D33&lt;=1,I33*E33+G33*('Datos generales'!$O$10-1),IF(D33&gt;=2,(C33+F33+I33)*E33))</f>
        <v>0</v>
      </c>
      <c r="K33" s="53">
        <f>'Entrada Inver_Finan'!H48</f>
        <v>0</v>
      </c>
      <c r="L33" s="72">
        <f t="shared" si="5"/>
        <v>0</v>
      </c>
    </row>
    <row r="34" spans="2:12" s="7" customFormat="1" ht="11.25" x14ac:dyDescent="0.2">
      <c r="B34" s="16">
        <f>'Entrada Inver_Finan'!C49</f>
        <v>0</v>
      </c>
      <c r="C34" s="54">
        <f>'Entrada Inver_Finan'!D49</f>
        <v>0</v>
      </c>
      <c r="D34" s="15">
        <f>'Entrada Inver_Finan'!E49</f>
        <v>0</v>
      </c>
      <c r="E34" s="18">
        <f t="shared" si="6"/>
        <v>0</v>
      </c>
      <c r="F34" s="53">
        <f>'Entrada Inver_Finan'!F49</f>
        <v>0</v>
      </c>
      <c r="G34" s="53">
        <f t="shared" si="4"/>
        <v>0</v>
      </c>
      <c r="H34" s="71">
        <f>G34*(13-'Datos generales'!$O$10)</f>
        <v>0</v>
      </c>
      <c r="I34" s="53">
        <f>'Entrada Inver_Finan'!G49</f>
        <v>0</v>
      </c>
      <c r="J34" s="71">
        <f>IF(D34&lt;=1,I34*E34+G34*('Datos generales'!$O$10-1),IF(D34&gt;=2,(C34+F34+I34)*E34))</f>
        <v>0</v>
      </c>
      <c r="K34" s="53">
        <f>'Entrada Inver_Finan'!H49</f>
        <v>0</v>
      </c>
      <c r="L34" s="72">
        <f t="shared" si="5"/>
        <v>0</v>
      </c>
    </row>
    <row r="35" spans="2:12" s="7" customFormat="1" ht="11.25" x14ac:dyDescent="0.2">
      <c r="B35" s="16">
        <f>'Entrada Inver_Finan'!C50</f>
        <v>0</v>
      </c>
      <c r="C35" s="54">
        <f>'Entrada Inver_Finan'!D50</f>
        <v>0</v>
      </c>
      <c r="D35" s="15">
        <f>'Entrada Inver_Finan'!E50</f>
        <v>0</v>
      </c>
      <c r="E35" s="18">
        <f t="shared" si="6"/>
        <v>0</v>
      </c>
      <c r="F35" s="53">
        <f>'Entrada Inver_Finan'!F50</f>
        <v>0</v>
      </c>
      <c r="G35" s="53">
        <f t="shared" si="4"/>
        <v>0</v>
      </c>
      <c r="H35" s="71">
        <f>G35*(13-'Datos generales'!$O$10)</f>
        <v>0</v>
      </c>
      <c r="I35" s="19">
        <f>'Entrada Inver_Finan'!G50</f>
        <v>0</v>
      </c>
      <c r="J35" s="71">
        <f>IF(D35&lt;=1,I35*E35+G35*('Datos generales'!$O$10-1),IF(D35&gt;=2,(C35+F35+I35)*E35))</f>
        <v>0</v>
      </c>
      <c r="K35" s="19">
        <f>'Entrada Inver_Finan'!H50</f>
        <v>0</v>
      </c>
      <c r="L35" s="72">
        <f t="shared" si="5"/>
        <v>0</v>
      </c>
    </row>
    <row r="36" spans="2:12" s="7" customFormat="1" ht="11.25" x14ac:dyDescent="0.2">
      <c r="B36" s="235" t="s">
        <v>586</v>
      </c>
      <c r="C36" s="129">
        <f>SUM(C27:C35)</f>
        <v>0</v>
      </c>
      <c r="D36" s="119"/>
      <c r="E36" s="236"/>
      <c r="F36" s="129">
        <f t="shared" ref="F36:L36" si="7">SUM(F27:F35)</f>
        <v>0</v>
      </c>
      <c r="G36" s="129">
        <f t="shared" si="7"/>
        <v>0</v>
      </c>
      <c r="H36" s="129">
        <f t="shared" si="7"/>
        <v>0</v>
      </c>
      <c r="I36" s="129">
        <f t="shared" si="7"/>
        <v>0</v>
      </c>
      <c r="J36" s="129">
        <f t="shared" si="7"/>
        <v>0</v>
      </c>
      <c r="K36" s="129">
        <f t="shared" si="7"/>
        <v>0</v>
      </c>
      <c r="L36" s="237">
        <f t="shared" si="7"/>
        <v>0</v>
      </c>
    </row>
    <row r="37" spans="2:12" s="7" customFormat="1" ht="12" thickBot="1" x14ac:dyDescent="0.25">
      <c r="C37" s="9"/>
      <c r="F37" s="9"/>
      <c r="G37" s="9"/>
      <c r="H37" s="9"/>
      <c r="I37" s="9"/>
      <c r="J37" s="9"/>
      <c r="K37" s="9"/>
      <c r="L37" s="9"/>
    </row>
    <row r="38" spans="2:12" ht="17.25" thickTop="1" thickBot="1" x14ac:dyDescent="0.3">
      <c r="B38" s="132" t="s">
        <v>587</v>
      </c>
      <c r="C38" s="238">
        <f>C25+C36</f>
        <v>0</v>
      </c>
      <c r="D38" s="239"/>
      <c r="E38" s="239"/>
      <c r="F38" s="238">
        <f t="shared" ref="F38:L38" si="8">F25+F36</f>
        <v>0</v>
      </c>
      <c r="G38" s="238">
        <f t="shared" si="8"/>
        <v>0</v>
      </c>
      <c r="H38" s="238">
        <f t="shared" si="8"/>
        <v>0</v>
      </c>
      <c r="I38" s="238">
        <f t="shared" si="8"/>
        <v>0</v>
      </c>
      <c r="J38" s="238">
        <f t="shared" si="8"/>
        <v>0</v>
      </c>
      <c r="K38" s="238">
        <f t="shared" si="8"/>
        <v>0</v>
      </c>
      <c r="L38" s="238">
        <f t="shared" si="8"/>
        <v>0</v>
      </c>
    </row>
    <row r="39" spans="2:12" ht="13.5" thickTop="1" x14ac:dyDescent="0.2">
      <c r="B39" s="22"/>
      <c r="C39" s="23"/>
    </row>
    <row r="40" spans="2:12" x14ac:dyDescent="0.2">
      <c r="H40" s="58"/>
    </row>
    <row r="41" spans="2:12" ht="15.75" x14ac:dyDescent="0.25">
      <c r="B41" s="3"/>
      <c r="H41" s="58"/>
    </row>
  </sheetData>
  <sheetProtection password="CC4B" sheet="1"/>
  <mergeCells count="9">
    <mergeCell ref="B10:B11"/>
    <mergeCell ref="D10:E10"/>
    <mergeCell ref="F10:F11"/>
    <mergeCell ref="L10:L11"/>
    <mergeCell ref="H10:H11"/>
    <mergeCell ref="I10:I11"/>
    <mergeCell ref="J10:J11"/>
    <mergeCell ref="K10:K11"/>
    <mergeCell ref="G10:G11"/>
  </mergeCells>
  <phoneticPr fontId="0" type="noConversion"/>
  <printOptions horizontalCentered="1" verticalCentered="1"/>
  <pageMargins left="0.75" right="0.75" top="1" bottom="1" header="0" footer="0"/>
  <pageSetup paperSize="9" scale="82" orientation="landscape"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6">
    <tabColor theme="6" tint="0.39997558519241921"/>
    <pageSetUpPr fitToPage="1"/>
  </sheetPr>
  <dimension ref="A2:BB729"/>
  <sheetViews>
    <sheetView showGridLines="0" workbookViewId="0">
      <selection activeCell="I87" sqref="I87"/>
    </sheetView>
  </sheetViews>
  <sheetFormatPr baseColWidth="10" defaultColWidth="9.140625" defaultRowHeight="12.75" x14ac:dyDescent="0.2"/>
  <cols>
    <col min="1" max="1" width="16.7109375" customWidth="1"/>
    <col min="2" max="2" width="14.5703125" style="63" customWidth="1"/>
    <col min="3" max="3" width="13.7109375" customWidth="1"/>
    <col min="4" max="4" width="13.85546875" customWidth="1"/>
    <col min="5" max="5" width="13.28515625" customWidth="1"/>
    <col min="6" max="6" width="15.28515625" customWidth="1"/>
    <col min="7" max="7" width="13" customWidth="1"/>
    <col min="8" max="8" width="15.5703125" customWidth="1"/>
    <col min="9" max="9" width="13" customWidth="1"/>
    <col min="10" max="10" width="12.5703125" customWidth="1"/>
    <col min="11" max="12" width="13.28515625" customWidth="1"/>
    <col min="13" max="13" width="12" customWidth="1"/>
    <col min="14" max="14" width="11.28515625" customWidth="1"/>
    <col min="15" max="15" width="11.7109375" style="29" customWidth="1"/>
    <col min="16" max="16" width="12" style="29" customWidth="1"/>
    <col min="17" max="17" width="11.5703125" style="29" customWidth="1"/>
    <col min="18" max="18" width="12.85546875" customWidth="1"/>
    <col min="19" max="19" width="11.7109375" customWidth="1"/>
    <col min="20" max="20" width="10.85546875" customWidth="1"/>
    <col min="21" max="21" width="8.140625" customWidth="1"/>
    <col min="22" max="22" width="12.28515625" customWidth="1"/>
    <col min="23" max="23" width="11.28515625" style="42" customWidth="1"/>
    <col min="24" max="24" width="11.7109375" style="29" customWidth="1"/>
    <col min="25" max="25" width="12.85546875" style="29" customWidth="1"/>
    <col min="26" max="26" width="13.7109375" style="29" customWidth="1"/>
    <col min="27" max="27" width="12.7109375" customWidth="1"/>
    <col min="28" max="28" width="11.5703125" customWidth="1"/>
    <col min="29" max="29" width="12.28515625" customWidth="1"/>
    <col min="30" max="30" width="9.140625" customWidth="1"/>
    <col min="31" max="31" width="11.42578125" customWidth="1"/>
    <col min="32" max="32" width="11.28515625" customWidth="1"/>
    <col min="33" max="33" width="11.7109375" style="29" customWidth="1"/>
    <col min="34" max="34" width="12.85546875" style="29" customWidth="1"/>
    <col min="35" max="35" width="14.7109375" style="29" customWidth="1"/>
    <col min="36" max="37" width="11.42578125" customWidth="1"/>
    <col min="38" max="38" width="9.28515625" customWidth="1"/>
    <col min="39" max="39" width="10.140625" customWidth="1"/>
    <col min="40" max="46" width="11.42578125" customWidth="1"/>
    <col min="47" max="47" width="8.28515625" customWidth="1"/>
    <col min="48" max="48" width="13.140625" customWidth="1"/>
    <col min="49" max="256" width="11.42578125" customWidth="1"/>
  </cols>
  <sheetData>
    <row r="2" spans="2:35" x14ac:dyDescent="0.2">
      <c r="B2" s="226"/>
      <c r="C2" s="226"/>
    </row>
    <row r="3" spans="2:35" ht="22.5" customHeight="1" x14ac:dyDescent="0.3">
      <c r="B3" s="1360" t="str">
        <f>'Datos generales'!C6</f>
        <v>Nombre de la empresa</v>
      </c>
      <c r="C3" s="1360"/>
      <c r="D3" s="1360"/>
      <c r="E3" s="1360"/>
      <c r="F3" s="1360"/>
      <c r="G3" s="1360"/>
    </row>
    <row r="4" spans="2:35" x14ac:dyDescent="0.2">
      <c r="B4"/>
    </row>
    <row r="5" spans="2:35" x14ac:dyDescent="0.2">
      <c r="B5"/>
      <c r="C5" s="63"/>
      <c r="E5" s="1"/>
    </row>
    <row r="6" spans="2:35" ht="15.75" x14ac:dyDescent="0.25">
      <c r="B6" s="138" t="s">
        <v>588</v>
      </c>
      <c r="C6" s="63"/>
      <c r="D6" s="110"/>
      <c r="E6" s="1"/>
      <c r="H6" s="138" t="s">
        <v>251</v>
      </c>
    </row>
    <row r="7" spans="2:35" ht="15.75" x14ac:dyDescent="0.25">
      <c r="B7" s="138"/>
      <c r="C7" s="63"/>
      <c r="D7" s="110"/>
      <c r="E7" s="1"/>
    </row>
    <row r="9" spans="2:35" x14ac:dyDescent="0.2">
      <c r="B9" s="1411" t="s">
        <v>589</v>
      </c>
      <c r="D9" s="393" t="s">
        <v>590</v>
      </c>
      <c r="E9" s="392" t="s">
        <v>591</v>
      </c>
      <c r="F9" s="392" t="s">
        <v>229</v>
      </c>
      <c r="H9" s="1411" t="s">
        <v>589</v>
      </c>
      <c r="J9" s="393" t="s">
        <v>592</v>
      </c>
      <c r="K9" s="392" t="s">
        <v>591</v>
      </c>
      <c r="L9" s="392" t="s">
        <v>229</v>
      </c>
      <c r="M9" s="392" t="s">
        <v>593</v>
      </c>
    </row>
    <row r="10" spans="2:35" ht="13.5" thickBot="1" x14ac:dyDescent="0.25">
      <c r="B10" s="1411"/>
      <c r="D10" s="393" t="s">
        <v>594</v>
      </c>
      <c r="E10" s="393" t="s">
        <v>595</v>
      </c>
      <c r="F10" s="393" t="s">
        <v>596</v>
      </c>
      <c r="H10" s="1411"/>
      <c r="J10" s="393" t="s">
        <v>597</v>
      </c>
      <c r="K10" s="393" t="s">
        <v>595</v>
      </c>
      <c r="L10" s="393" t="s">
        <v>596</v>
      </c>
    </row>
    <row r="11" spans="2:35" ht="18" customHeight="1" thickTop="1" x14ac:dyDescent="0.2">
      <c r="B11" s="382" t="s">
        <v>598</v>
      </c>
      <c r="C11" s="383"/>
      <c r="D11" s="384">
        <f>C34</f>
        <v>0</v>
      </c>
      <c r="E11" s="385"/>
      <c r="F11" s="386"/>
      <c r="H11" s="382" t="s">
        <v>599</v>
      </c>
      <c r="I11" s="383"/>
      <c r="J11" s="384">
        <f>'Entrada Inver_Finan'!D117</f>
        <v>0</v>
      </c>
      <c r="K11" s="587"/>
      <c r="L11" s="587"/>
      <c r="M11" s="588"/>
      <c r="P11" s="58"/>
    </row>
    <row r="12" spans="2:35" ht="17.25" customHeight="1" x14ac:dyDescent="0.2">
      <c r="B12" s="381" t="s">
        <v>600</v>
      </c>
      <c r="C12" s="156"/>
      <c r="D12" s="295">
        <f>SUM(C34:C46)-D11</f>
        <v>0</v>
      </c>
      <c r="E12" s="295">
        <f>SUM(E35:E46)</f>
        <v>0</v>
      </c>
      <c r="F12" s="363">
        <f>ROUND(SUM(F35:F46),5)</f>
        <v>0</v>
      </c>
      <c r="H12" s="381" t="s">
        <v>600</v>
      </c>
      <c r="I12" s="156"/>
      <c r="J12" s="295">
        <f>IF($AF$92=$D$26,$AE$89,0)+IF($AO$92=$D$26,$AN$89,0)+IF($AX$92=$D$26,$AW$89,0)-J11</f>
        <v>0</v>
      </c>
      <c r="K12" s="295">
        <f>SUM(V35:V46)</f>
        <v>0</v>
      </c>
      <c r="L12" s="295">
        <f>ROUND(SUM(W35:W46),5)</f>
        <v>0</v>
      </c>
      <c r="M12" s="363">
        <f>ROUND(SUM(X35:X46),5)</f>
        <v>0</v>
      </c>
      <c r="O12" s="58"/>
      <c r="P12" s="58"/>
    </row>
    <row r="13" spans="2:35" ht="17.25" customHeight="1" x14ac:dyDescent="0.2">
      <c r="B13" s="366" t="s">
        <v>601</v>
      </c>
      <c r="C13" s="156"/>
      <c r="D13" s="295">
        <f>SUM(C47:C58)</f>
        <v>0</v>
      </c>
      <c r="E13" s="295">
        <f>SUM(E47:E58)</f>
        <v>0</v>
      </c>
      <c r="F13" s="363">
        <f>ROUND(SUM(F47:F58),5)</f>
        <v>0</v>
      </c>
      <c r="H13" s="366" t="s">
        <v>601</v>
      </c>
      <c r="I13" s="156"/>
      <c r="J13" s="295">
        <f>IF($AF$92=$D$26+1,$AE$89,0)+IF($AO$92=$D$26+1,$AN$89,0)+IF($AX$92=$D$26+1,$AW$89,0)</f>
        <v>0</v>
      </c>
      <c r="K13" s="295">
        <f>SUM(V47:V58)</f>
        <v>0</v>
      </c>
      <c r="L13" s="295">
        <f>ROUND(SUM(W47:W58),5)</f>
        <v>0</v>
      </c>
      <c r="M13" s="363">
        <f>ROUND(SUM(X47:X58),5)</f>
        <v>0</v>
      </c>
      <c r="O13" s="58"/>
      <c r="P13" s="58"/>
    </row>
    <row r="14" spans="2:35" ht="17.25" customHeight="1" x14ac:dyDescent="0.2">
      <c r="B14" s="366" t="s">
        <v>602</v>
      </c>
      <c r="C14" s="156"/>
      <c r="D14" s="295">
        <f>SUM(C59:C70)</f>
        <v>0</v>
      </c>
      <c r="E14" s="295">
        <f>SUM(E59:E70)</f>
        <v>0</v>
      </c>
      <c r="F14" s="363">
        <f>ROUND(SUM(F59:F70),5)</f>
        <v>0</v>
      </c>
      <c r="H14" s="366" t="s">
        <v>602</v>
      </c>
      <c r="I14" s="156"/>
      <c r="J14" s="295">
        <f>IF($AF$92=$D$26+2,$AE$89,0)+IF($AO$92=$D$26+2,$AN$89,0)+IF($AX$92=$D$26+2,$AW$89,0)</f>
        <v>0</v>
      </c>
      <c r="K14" s="295">
        <f>SUM(V59:V70)</f>
        <v>0</v>
      </c>
      <c r="L14" s="295">
        <f>ROUND(SUM(W59:W70),5)</f>
        <v>0</v>
      </c>
      <c r="M14" s="363">
        <f>ROUND(SUM(X59:X70),5)</f>
        <v>0</v>
      </c>
      <c r="N14" s="41"/>
      <c r="O14" s="42"/>
      <c r="P14" s="42"/>
      <c r="Q14" s="41"/>
      <c r="S14" s="41"/>
      <c r="T14" s="41"/>
      <c r="U14" s="41"/>
      <c r="V14" s="42"/>
      <c r="X14" s="41"/>
      <c r="Y14" s="41"/>
      <c r="Z14" s="41"/>
      <c r="AB14" s="41"/>
      <c r="AC14" s="41"/>
      <c r="AD14" s="41"/>
      <c r="AE14" s="42"/>
      <c r="AF14" s="41"/>
      <c r="AG14" s="41"/>
      <c r="AH14" s="41"/>
      <c r="AI14" s="41"/>
    </row>
    <row r="15" spans="2:35" ht="17.25" customHeight="1" thickBot="1" x14ac:dyDescent="0.25">
      <c r="B15" s="367" t="s">
        <v>603</v>
      </c>
      <c r="C15" s="387"/>
      <c r="D15" s="364">
        <f>SUM(C71:C82)</f>
        <v>0</v>
      </c>
      <c r="E15" s="364">
        <f>SUM(E71:E82)</f>
        <v>0</v>
      </c>
      <c r="F15" s="365">
        <f>ROUND(SUM(F71:F82),5)</f>
        <v>0</v>
      </c>
      <c r="H15" s="367" t="s">
        <v>603</v>
      </c>
      <c r="I15" s="387"/>
      <c r="J15" s="364">
        <f>IF($AF$92=$D$26+3,$AE$89,0)+IF($AO$92=$D$26+3,$AN$89,0)+IF($AX$92=$D$26+3,$AW$89,0)</f>
        <v>0</v>
      </c>
      <c r="K15" s="364">
        <f>SUM(V71:V82)</f>
        <v>0</v>
      </c>
      <c r="L15" s="364">
        <f>SUM(W71:W82)</f>
        <v>0</v>
      </c>
      <c r="M15" s="365">
        <f>ROUND(SUM(X71:X82),5)</f>
        <v>0</v>
      </c>
      <c r="N15" s="41"/>
      <c r="O15" s="42"/>
      <c r="P15" s="42"/>
      <c r="Q15" s="41"/>
      <c r="S15" s="41"/>
      <c r="T15" s="41"/>
      <c r="U15" s="41"/>
      <c r="V15" s="42"/>
      <c r="X15" s="41"/>
      <c r="Y15" s="41"/>
      <c r="Z15" s="41"/>
      <c r="AB15" s="41"/>
      <c r="AC15" s="41"/>
      <c r="AD15" s="41"/>
      <c r="AE15" s="42"/>
      <c r="AF15" s="41"/>
      <c r="AG15" s="41"/>
      <c r="AH15" s="41"/>
      <c r="AI15" s="41"/>
    </row>
    <row r="16" spans="2:35" ht="14.25" thickTop="1" thickBot="1" x14ac:dyDescent="0.25">
      <c r="J16" s="41"/>
      <c r="K16" s="41"/>
      <c r="L16" s="41"/>
      <c r="M16" s="41"/>
      <c r="N16" s="41"/>
      <c r="O16" s="42"/>
      <c r="P16" s="42"/>
      <c r="Q16" s="44"/>
      <c r="S16" s="41"/>
      <c r="T16" s="41"/>
      <c r="U16" s="41"/>
      <c r="V16" s="41"/>
      <c r="X16" s="44"/>
      <c r="Y16" s="44"/>
      <c r="Z16" s="44"/>
      <c r="AB16" s="41"/>
      <c r="AC16" s="41"/>
      <c r="AD16" s="41"/>
      <c r="AE16" s="41"/>
      <c r="AF16" s="41"/>
      <c r="AG16" s="44"/>
      <c r="AH16" s="44"/>
      <c r="AI16" s="44"/>
    </row>
    <row r="17" spans="2:38" ht="13.5" thickTop="1" x14ac:dyDescent="0.2">
      <c r="B17" s="600" t="s">
        <v>590</v>
      </c>
      <c r="C17" s="1412" t="s">
        <v>604</v>
      </c>
      <c r="D17" s="1412"/>
      <c r="E17" s="1412"/>
      <c r="F17" s="1413"/>
      <c r="H17" s="661" t="s">
        <v>328</v>
      </c>
      <c r="I17" s="1412" t="s">
        <v>604</v>
      </c>
      <c r="J17" s="1412"/>
      <c r="K17" s="1412"/>
      <c r="L17" s="1413"/>
      <c r="M17" s="41"/>
      <c r="N17" s="41"/>
      <c r="O17" s="44"/>
      <c r="P17" s="42"/>
      <c r="Q17" s="44"/>
      <c r="S17" s="41"/>
      <c r="T17" s="41"/>
      <c r="U17" s="41"/>
      <c r="V17" s="41"/>
      <c r="X17" s="44"/>
      <c r="Y17" s="44"/>
      <c r="Z17" s="44"/>
      <c r="AB17" s="41"/>
      <c r="AC17" s="41"/>
      <c r="AD17" s="41"/>
      <c r="AE17" s="41"/>
      <c r="AF17" s="41"/>
      <c r="AG17" s="44"/>
      <c r="AH17" s="44"/>
      <c r="AI17" s="44"/>
    </row>
    <row r="18" spans="2:38" x14ac:dyDescent="0.2">
      <c r="B18" s="601" t="s">
        <v>605</v>
      </c>
      <c r="C18" s="663" t="s">
        <v>373</v>
      </c>
      <c r="D18" s="663" t="s">
        <v>374</v>
      </c>
      <c r="E18" s="663" t="s">
        <v>375</v>
      </c>
      <c r="F18" s="664" t="s">
        <v>606</v>
      </c>
      <c r="H18" s="662" t="s">
        <v>607</v>
      </c>
      <c r="I18" s="663" t="s">
        <v>373</v>
      </c>
      <c r="J18" s="663" t="s">
        <v>374</v>
      </c>
      <c r="K18" s="663" t="s">
        <v>375</v>
      </c>
      <c r="L18" s="664" t="s">
        <v>606</v>
      </c>
      <c r="M18" s="41"/>
      <c r="N18" s="41"/>
      <c r="O18" s="44"/>
      <c r="P18" s="44"/>
      <c r="Q18" s="44"/>
      <c r="S18" s="41"/>
      <c r="T18" s="41"/>
      <c r="U18" s="41"/>
      <c r="V18" s="41"/>
      <c r="X18" s="44"/>
      <c r="Y18" s="44"/>
      <c r="Z18" s="44"/>
      <c r="AB18" s="41"/>
      <c r="AC18" s="41"/>
      <c r="AD18" s="41"/>
      <c r="AE18" s="41"/>
      <c r="AF18" s="41"/>
      <c r="AG18" s="44"/>
      <c r="AH18" s="44"/>
      <c r="AI18" s="44"/>
    </row>
    <row r="19" spans="2:38" x14ac:dyDescent="0.2">
      <c r="B19" s="366" t="s">
        <v>608</v>
      </c>
      <c r="C19" s="295">
        <f>IF($D$91=$C$26,SUM(J35:J46),0)+IF($M$91=$C$26,SUM(N35:N46),0)+IF($V$91=$C$26,SUM(R35:R46),0)</f>
        <v>0</v>
      </c>
      <c r="D19" s="295">
        <f>IF($D$91=$C$26,SUM(J47:J58),0)+IF($M$91=$C$26,SUM(N47:N58),0)+IF($V$91=$C$26,SUM(R47:R58),0)</f>
        <v>0</v>
      </c>
      <c r="E19" s="295">
        <f>IF($D$91=$C$26,SUM(J59:J70),0)+IF($M$91=$C$26,SUM(N59:N70),0)+IF($V$91=$C$26,SUM(R59:R70),0)</f>
        <v>0</v>
      </c>
      <c r="F19" s="363">
        <f>IF($D$91=$C$26,SUM(J71:J82),0)+IF($M$91=$C$26,SUM(N71:N82),0)+IF($V$91=$C$26,SUM(R71:R82),0)</f>
        <v>0</v>
      </c>
      <c r="H19" s="381" t="s">
        <v>608</v>
      </c>
      <c r="I19" s="290">
        <f>IF($AE$92=$C$26,SUM($AA35:$AA46),0)+IF($AN$92=$C$26,SUM($AE35:$AE46),0)+IF($AW$92=$C$26,SUM($AI35:$AI46),0)</f>
        <v>0</v>
      </c>
      <c r="J19" s="295">
        <f>IF($AE$92=$C$26,SUM($AA47:$AA58),0)+IF($AN$92=$C$26,SUM($AE47:$AE58),0)+IF($AW$92=$C$26,SUM($AI47:$AI58),0)</f>
        <v>0</v>
      </c>
      <c r="K19" s="295">
        <f>IF($AE$92=$C$26,SUM(AA59:AA70),0)+IF($AN$92=$C$26,SUM(AE59:AE70),0)+IF($AW$92=$C$26,SUM(AI59:AI70),0)</f>
        <v>0</v>
      </c>
      <c r="L19" s="363">
        <f>IF($AE$92=$C$26,SUM(AA71:AA82),0)+IF($AN$92=$C$26,SUM(AE71:AE82),0)+IF($AW$92=$C$26,SUM(AI71:AI82),0)</f>
        <v>0</v>
      </c>
      <c r="M19" s="41"/>
      <c r="N19" s="41"/>
      <c r="O19" s="42"/>
      <c r="P19" s="42"/>
      <c r="Q19" s="42"/>
      <c r="T19" s="41"/>
      <c r="U19" s="41"/>
      <c r="V19" s="41"/>
      <c r="X19" s="44"/>
      <c r="Y19" s="44"/>
      <c r="Z19" s="44"/>
      <c r="AB19" s="41"/>
      <c r="AC19" s="41"/>
      <c r="AD19" s="41"/>
      <c r="AE19" s="41"/>
      <c r="AF19" s="41"/>
      <c r="AG19" s="44"/>
      <c r="AH19" s="44"/>
      <c r="AI19" s="44"/>
    </row>
    <row r="20" spans="2:38" x14ac:dyDescent="0.2">
      <c r="B20" s="366" t="s">
        <v>600</v>
      </c>
      <c r="C20" s="295">
        <f>IF(AND($C$26&lt;&gt;$D$91,$D$26=$E$91),SUM($J35:$J46),0)+IF(AND($C$26&lt;&gt;$M$91,$D$26=$N$91),SUM($N35:$N46),0)+IF(AND($C$26&lt;&gt;$V$91,$D$26=$W$91),SUM($R35:$R46),0)</f>
        <v>0</v>
      </c>
      <c r="D20" s="295">
        <f>IF(AND($C$26&lt;&gt;$D$91,$D$26=$E$91),SUM($J47:$J58),0)+IF(AND($C$26&lt;&gt;$M$91,$D$26=$N$91),SUM($N47:$N58),0)+IF(AND($C$26&lt;&gt;$V$91,$D$26=$W$91),SUM($R47:$R58),0)</f>
        <v>0</v>
      </c>
      <c r="E20" s="295">
        <f>IF(AND($C$26&lt;&gt;$D$91,$D$26=$E$91),SUM($J59:$J70),0)+IF(AND($C$26&lt;&gt;$M$91,$D$26=$N$91),SUM($N59:$N70),0)+IF(AND($C$26&lt;&gt;$V$91,$D$26=$W$91),SUM($R59:$R70),0)</f>
        <v>0</v>
      </c>
      <c r="F20" s="363">
        <f>IF(AND($C$26&lt;&gt;$D$91,$D$26=$E$91),SUM($J71:$J82),0)+IF(AND($C$26&lt;&gt;$M$91,$D$26=$N$91),SUM($N71:$N82),0)+IF(AND($C$26&lt;&gt;$V$91,$D$26=$W$91),SUM($R71:$R82),0)</f>
        <v>0</v>
      </c>
      <c r="H20" s="366" t="s">
        <v>600</v>
      </c>
      <c r="I20" s="295">
        <f>IF(AND($C$26&lt;&gt;$AE$92,$D$26=$AF$92),SUM($AA35:$AA46),0)+IF(AND($C$26&lt;&gt;$AN$92,$D$26=$AO$92),SUM($AE35:$AE46),0)+IF(AND($C$26&lt;&gt;$AW$92,$D$26=$AX$92),SUM($AI35:$AI46),0)</f>
        <v>0</v>
      </c>
      <c r="J20" s="295">
        <f>IF(AND($C$26&lt;&gt;$AE$92,$D$26=$AF$92),SUM($AA47:$AA58),0)+IF(AND($C$26&lt;&gt;$AN$92,$D$26=$AO$92),SUM($AE47:$AE58),0)+IF(AND($C$26&lt;&gt;$AW$92,$D$26=$AX$92),SUM($AI47:$AI58),0)</f>
        <v>0</v>
      </c>
      <c r="K20" s="295">
        <f>IF(AND($C$26&lt;&gt;$AE$92,$D$26=$AF$92),SUM($AA59:$AA70),0)+IF(AND($C$26&lt;&gt;$AN$92,$D$26=$AO$92),SUM($AE59:$AE70),0)+IF(AND($C$26&lt;&gt;$AW$92,$D$26=$AX$92),SUM($AI59:$AI70),0)</f>
        <v>0</v>
      </c>
      <c r="L20" s="363">
        <f>IF(AND($C$26&lt;&gt;$AE$92,$D$26=$AF$92),SUM($AA71:$AA82),0)+IF(AND($C$26&lt;&gt;$AN$92,$D$26=$AO$92),SUM($AE71:$AE82),0)+IF(AND($C$26&lt;&gt;$AW$92,$D$26=$AX$92),SUM($AI71:$AI82),0)</f>
        <v>0</v>
      </c>
      <c r="M20" s="41"/>
      <c r="N20" s="41"/>
      <c r="O20" s="42"/>
      <c r="P20" s="42"/>
      <c r="Q20" s="42"/>
      <c r="S20" s="41"/>
      <c r="T20" s="41"/>
      <c r="U20" s="41"/>
      <c r="V20" s="41"/>
      <c r="X20" s="44"/>
      <c r="Y20" s="44"/>
      <c r="Z20" s="44"/>
      <c r="AB20" s="41"/>
      <c r="AC20" s="41"/>
      <c r="AD20" s="41"/>
      <c r="AF20" s="41"/>
      <c r="AG20" s="44"/>
      <c r="AH20" s="44"/>
      <c r="AI20" s="44"/>
    </row>
    <row r="21" spans="2:38" x14ac:dyDescent="0.2">
      <c r="B21" s="366" t="s">
        <v>601</v>
      </c>
      <c r="C21" s="300"/>
      <c r="D21" s="295">
        <f>IF($E$91=$D$26+1,SUM($F47:$F58),0)+IF($N$91=$D$26+1,SUM($N47:$N58),0)+IF($W$91=$D$26+1,SUM($R47:$R58),0)</f>
        <v>0</v>
      </c>
      <c r="E21" s="295">
        <f>IF($E$91=$D$26+1,SUM($F59:$F70),0)+IF($N$91=$D$26+1,SUM($N59:$N70),0)+IF($W$91=$D$26+1,SUM($R59:$R70),0)</f>
        <v>0</v>
      </c>
      <c r="F21" s="363">
        <f>IF($E$91=$D$26+1,SUM($F71:$F82),0)+IF($N$91=$D$26+1,SUM($N71:$N82),0)+IF($W$91=$D$26+1,SUM($R71:$R82),0)</f>
        <v>0</v>
      </c>
      <c r="H21" s="366" t="s">
        <v>601</v>
      </c>
      <c r="I21" s="300"/>
      <c r="J21" s="295">
        <f>IF($AF$92=$D$26+1,SUM($AA47:$AA58),0)+IF($AO$92=$D$26+1,SUM($AE47:$AE58),0)+IF($AX$92=$D$26+1,SUM($AI47:$AI58),0)</f>
        <v>0</v>
      </c>
      <c r="K21" s="295">
        <f>IF($AF$92=$D$26+1,SUM($AA59:$AA70),0)+IF($AO$92=$D$26+1,SUM($AE59:$AE70),0)+IF($AX$92=$D$26+1,SUM($AI59:$AI70),0)</f>
        <v>0</v>
      </c>
      <c r="L21" s="363">
        <f>IF($AF$92=$D$26+1,SUM($AA71:$AA82),0)+IF($AO$92=$D$26+1,SUM($AE71:$AE82),0)+IF($AX$92=$D$26+1,SUM($AI71:$AI82),0)</f>
        <v>0</v>
      </c>
      <c r="M21" s="41"/>
      <c r="N21" s="41"/>
      <c r="O21" s="42"/>
      <c r="P21" s="42"/>
      <c r="Q21" s="42"/>
      <c r="S21" s="41"/>
      <c r="T21" s="41"/>
      <c r="U21" s="41"/>
      <c r="V21" s="41"/>
      <c r="X21" s="44"/>
      <c r="Y21" s="44"/>
      <c r="Z21" s="44"/>
      <c r="AB21" s="41"/>
      <c r="AC21" s="41"/>
      <c r="AD21" s="41"/>
      <c r="AF21" s="41"/>
      <c r="AG21" s="44"/>
      <c r="AH21" s="44"/>
      <c r="AI21" s="44"/>
    </row>
    <row r="22" spans="2:38" ht="13.5" thickBot="1" x14ac:dyDescent="0.25">
      <c r="B22" s="602" t="s">
        <v>602</v>
      </c>
      <c r="C22" s="577"/>
      <c r="D22" s="577"/>
      <c r="E22" s="603">
        <f>IF($E$91=$D$26+2,SUM($J59:$J70),0)+IF($N$91=$D$26+2,SUM($N59:$N70),0)+IF($W$91=$D$26+2,SUM($R59:$R70),0)</f>
        <v>0</v>
      </c>
      <c r="F22" s="604">
        <f>IF($E$91=$D$26+2,SUM($J71:$J82),0)+IF($N$91=$D$26+2,SUM($N71:$N82),0)+IF($W$91=$D$26+2,SUM($R71:$R82),0)</f>
        <v>0</v>
      </c>
      <c r="G22" s="58"/>
      <c r="H22" s="602" t="s">
        <v>602</v>
      </c>
      <c r="I22" s="577"/>
      <c r="J22" s="577"/>
      <c r="K22" s="603">
        <f>IF($AF$92=$D$26+2,SUM($AA59:$AA70),0)+IF($AO$92=$D$26+2,SUM($AE59:$AE70),0)+IF($AX$92=$D$26+2,SUM($AI59:$AI70),0)</f>
        <v>0</v>
      </c>
      <c r="L22" s="604">
        <f>IF($AF$92=$D$26+2,SUM($AA71:$AA82),0)+IF($AO$92=$D$26+2,SUM($AE71:$AE82),0)+IF($AX$92=$D$26+2,SUM($AI71:$AI82),0)</f>
        <v>0</v>
      </c>
      <c r="M22" s="41"/>
      <c r="N22" s="58"/>
      <c r="O22" s="42"/>
      <c r="P22" s="42"/>
      <c r="Q22" s="42"/>
      <c r="S22" s="41"/>
      <c r="T22" s="41"/>
      <c r="U22" s="41"/>
      <c r="V22" s="41"/>
      <c r="X22" s="44"/>
      <c r="Y22" s="44"/>
      <c r="Z22" s="44"/>
      <c r="AB22" s="41"/>
      <c r="AC22" s="41"/>
      <c r="AD22" s="41"/>
      <c r="AF22" s="41"/>
      <c r="AG22" s="44"/>
      <c r="AH22" s="44"/>
      <c r="AI22" s="44"/>
    </row>
    <row r="23" spans="2:38" ht="13.5" thickTop="1" x14ac:dyDescent="0.2">
      <c r="C23" s="58"/>
      <c r="D23" s="58"/>
      <c r="E23" s="58"/>
      <c r="F23" s="58"/>
      <c r="G23" s="58"/>
      <c r="H23" s="58"/>
      <c r="J23" s="41"/>
      <c r="K23" s="58"/>
      <c r="L23" s="42"/>
      <c r="M23" s="41"/>
      <c r="N23" s="58"/>
      <c r="O23" s="44"/>
      <c r="P23" s="44"/>
      <c r="Q23" s="44"/>
      <c r="S23" s="41"/>
      <c r="T23" s="41"/>
      <c r="U23" s="41"/>
      <c r="V23" s="41"/>
      <c r="X23" s="44"/>
      <c r="Y23" s="44"/>
      <c r="Z23" s="44"/>
      <c r="AB23" s="41"/>
      <c r="AC23" s="41"/>
      <c r="AD23" s="41"/>
      <c r="AF23" s="41"/>
      <c r="AG23" s="44"/>
      <c r="AH23" s="44"/>
      <c r="AI23" s="44"/>
    </row>
    <row r="24" spans="2:38" x14ac:dyDescent="0.2">
      <c r="G24" s="58"/>
      <c r="H24" s="58"/>
      <c r="J24" s="41"/>
      <c r="K24" s="58"/>
      <c r="L24" s="41"/>
      <c r="M24" s="41"/>
      <c r="N24" s="58"/>
      <c r="O24" s="44"/>
      <c r="P24" s="44"/>
      <c r="Q24" s="44"/>
      <c r="S24" s="41"/>
      <c r="T24" s="41"/>
      <c r="U24" s="41"/>
      <c r="V24" s="41"/>
      <c r="X24" s="44"/>
      <c r="Y24" s="44"/>
      <c r="Z24" s="44"/>
      <c r="AB24" s="41"/>
      <c r="AC24" s="41"/>
      <c r="AD24" s="41"/>
      <c r="AE24" s="41"/>
      <c r="AF24" s="41"/>
      <c r="AG24" s="44"/>
      <c r="AH24" s="44"/>
      <c r="AI24" s="44"/>
    </row>
    <row r="25" spans="2:38" x14ac:dyDescent="0.2">
      <c r="J25" s="41"/>
      <c r="K25" s="41"/>
      <c r="L25" s="41"/>
      <c r="M25" s="41"/>
      <c r="N25" s="41"/>
      <c r="O25" s="44"/>
      <c r="P25" s="44"/>
      <c r="Q25" s="44"/>
      <c r="S25" s="41"/>
      <c r="T25" s="41"/>
      <c r="U25" s="41"/>
      <c r="V25" s="41"/>
      <c r="X25" s="44"/>
      <c r="Y25" s="44"/>
      <c r="Z25" s="44"/>
      <c r="AB25" s="41"/>
      <c r="AC25" s="41"/>
      <c r="AD25" s="41"/>
      <c r="AE25" s="41"/>
      <c r="AF25" s="41"/>
      <c r="AG25" s="44"/>
      <c r="AH25" s="44"/>
      <c r="AI25" s="44"/>
    </row>
    <row r="26" spans="2:38" ht="13.5" thickBot="1" x14ac:dyDescent="0.25">
      <c r="B26" s="605" t="s">
        <v>609</v>
      </c>
      <c r="C26" s="806">
        <f>'Datos generales'!D10</f>
        <v>43831</v>
      </c>
      <c r="D26" s="606">
        <f>YEAR(C26)</f>
        <v>2020</v>
      </c>
      <c r="J26" s="41"/>
      <c r="K26" s="41"/>
      <c r="L26" s="41"/>
      <c r="M26" s="41"/>
      <c r="N26" s="41"/>
      <c r="O26" s="44"/>
      <c r="P26" s="44"/>
      <c r="Q26" s="44"/>
      <c r="S26" s="41"/>
      <c r="T26" s="41"/>
      <c r="U26" s="41"/>
      <c r="V26" s="41"/>
      <c r="X26" s="44"/>
      <c r="Y26" s="44"/>
      <c r="Z26" s="44"/>
      <c r="AB26" s="41"/>
      <c r="AC26" s="41"/>
      <c r="AD26" s="41"/>
      <c r="AE26" s="41"/>
      <c r="AF26" s="41"/>
      <c r="AG26" s="44"/>
      <c r="AH26" s="44"/>
      <c r="AI26" s="44"/>
    </row>
    <row r="27" spans="2:38" ht="13.5" thickTop="1" x14ac:dyDescent="0.2">
      <c r="B27"/>
      <c r="C27" s="63"/>
      <c r="D27" s="110"/>
      <c r="J27" s="41"/>
      <c r="K27" s="41"/>
      <c r="L27" s="41"/>
      <c r="M27" s="41"/>
      <c r="N27" s="41"/>
      <c r="O27" s="44"/>
      <c r="P27" s="44"/>
      <c r="Q27" s="44"/>
      <c r="S27" s="41"/>
      <c r="T27" s="41"/>
      <c r="U27" s="41"/>
      <c r="V27" s="41"/>
      <c r="X27" s="44"/>
      <c r="Y27" s="44"/>
      <c r="Z27" s="44"/>
      <c r="AB27" s="41"/>
      <c r="AC27" s="41"/>
      <c r="AD27" s="41"/>
      <c r="AE27" s="41"/>
      <c r="AF27" s="41"/>
      <c r="AG27" s="44"/>
      <c r="AH27" s="44"/>
      <c r="AI27" s="44"/>
    </row>
    <row r="28" spans="2:38" x14ac:dyDescent="0.2">
      <c r="B28"/>
      <c r="C28" s="63"/>
      <c r="D28" s="110"/>
      <c r="J28" s="41"/>
      <c r="K28" s="41"/>
      <c r="L28" s="41"/>
      <c r="M28" s="41"/>
      <c r="N28" s="41"/>
      <c r="O28" s="44"/>
      <c r="P28" s="44"/>
      <c r="Q28" s="44"/>
      <c r="S28" s="41"/>
      <c r="T28" s="41"/>
      <c r="U28" s="41"/>
      <c r="V28" s="41"/>
      <c r="X28" s="44"/>
      <c r="Y28" s="44"/>
      <c r="Z28" s="44"/>
      <c r="AB28" s="41"/>
      <c r="AC28" s="41"/>
      <c r="AD28" s="41"/>
      <c r="AE28" s="41"/>
      <c r="AF28" s="41"/>
      <c r="AG28" s="44"/>
      <c r="AH28" s="44"/>
      <c r="AI28" s="44"/>
    </row>
    <row r="29" spans="2:38" ht="16.5" hidden="1" thickBot="1" x14ac:dyDescent="0.3">
      <c r="B29" s="138" t="s">
        <v>610</v>
      </c>
      <c r="J29" s="41"/>
      <c r="K29" s="41"/>
      <c r="L29" s="41"/>
      <c r="M29" s="41"/>
      <c r="N29" s="41"/>
      <c r="O29" s="44"/>
      <c r="T29" s="138" t="s">
        <v>611</v>
      </c>
      <c r="W29"/>
      <c r="X29"/>
      <c r="Y29"/>
      <c r="Z29"/>
      <c r="AB29" s="58"/>
      <c r="AC29" s="41"/>
      <c r="AD29" s="41"/>
      <c r="AE29" s="41"/>
      <c r="AF29" s="41"/>
      <c r="AG29" s="41"/>
      <c r="AH29" s="41"/>
      <c r="AI29" s="41"/>
      <c r="AJ29" s="41"/>
      <c r="AL29" s="138"/>
    </row>
    <row r="30" spans="2:38" ht="18" hidden="1" customHeight="1" x14ac:dyDescent="0.2">
      <c r="B30" s="1420" t="s">
        <v>612</v>
      </c>
      <c r="C30" s="1421"/>
      <c r="D30" s="1421"/>
      <c r="E30" s="1421"/>
      <c r="F30" s="1422"/>
      <c r="G30" s="1414" t="str">
        <f>B88</f>
        <v>Préstamo de...( Entidad financiera A)</v>
      </c>
      <c r="H30" s="1415"/>
      <c r="I30" s="1415"/>
      <c r="J30" s="1416"/>
      <c r="K30" s="1414" t="str">
        <f>K88</f>
        <v>Préstamo de...( Entidad financiera B)</v>
      </c>
      <c r="L30" s="1415"/>
      <c r="M30" s="1415"/>
      <c r="N30" s="1416"/>
      <c r="O30" s="1426">
        <f>T88</f>
        <v>0</v>
      </c>
      <c r="P30" s="1427"/>
      <c r="Q30" s="1427"/>
      <c r="R30" s="1428"/>
      <c r="T30" s="1420" t="s">
        <v>612</v>
      </c>
      <c r="U30" s="1421"/>
      <c r="V30" s="1421"/>
      <c r="W30" s="1421"/>
      <c r="X30" s="1422"/>
      <c r="Y30" s="1426" t="str">
        <f>AC87</f>
        <v>Leasing Maquinaria</v>
      </c>
      <c r="Z30" s="1427"/>
      <c r="AA30" s="1427"/>
      <c r="AB30" s="1428"/>
      <c r="AC30" s="1426" t="str">
        <f>AL87</f>
        <v>Leasing Transporte</v>
      </c>
      <c r="AD30" s="1427"/>
      <c r="AE30" s="1427"/>
      <c r="AF30" s="1428"/>
      <c r="AG30" s="1426">
        <f>AU87</f>
        <v>0</v>
      </c>
      <c r="AH30" s="1427"/>
      <c r="AI30" s="1427"/>
      <c r="AJ30" s="1428"/>
    </row>
    <row r="31" spans="2:38" ht="12.75" hidden="1" customHeight="1" x14ac:dyDescent="0.2">
      <c r="B31" s="1423"/>
      <c r="C31" s="1424"/>
      <c r="D31" s="1424"/>
      <c r="E31" s="1424"/>
      <c r="F31" s="1425"/>
      <c r="G31" s="1417"/>
      <c r="H31" s="1418"/>
      <c r="I31" s="1418"/>
      <c r="J31" s="1419"/>
      <c r="K31" s="1417"/>
      <c r="L31" s="1418"/>
      <c r="M31" s="1418"/>
      <c r="N31" s="1419"/>
      <c r="O31" s="1429"/>
      <c r="P31" s="1430"/>
      <c r="Q31" s="1430"/>
      <c r="R31" s="1431"/>
      <c r="T31" s="1423"/>
      <c r="U31" s="1424"/>
      <c r="V31" s="1424"/>
      <c r="W31" s="1424"/>
      <c r="X31" s="1425"/>
      <c r="Y31" s="1429"/>
      <c r="Z31" s="1430"/>
      <c r="AA31" s="1430"/>
      <c r="AB31" s="1431"/>
      <c r="AC31" s="1429"/>
      <c r="AD31" s="1430"/>
      <c r="AE31" s="1430"/>
      <c r="AF31" s="1431"/>
      <c r="AG31" s="1429"/>
      <c r="AH31" s="1430"/>
      <c r="AI31" s="1430"/>
      <c r="AJ31" s="1431"/>
    </row>
    <row r="32" spans="2:38" ht="12.75" hidden="1" customHeight="1" x14ac:dyDescent="0.2">
      <c r="B32" s="212"/>
      <c r="C32" s="1409" t="s">
        <v>613</v>
      </c>
      <c r="D32" s="1409" t="s">
        <v>205</v>
      </c>
      <c r="E32" s="375" t="s">
        <v>614</v>
      </c>
      <c r="F32" s="222" t="s">
        <v>229</v>
      </c>
      <c r="G32" s="1255" t="s">
        <v>615</v>
      </c>
      <c r="H32" s="1409" t="s">
        <v>205</v>
      </c>
      <c r="I32" s="1251" t="s">
        <v>614</v>
      </c>
      <c r="J32" s="368" t="s">
        <v>616</v>
      </c>
      <c r="K32" s="1255" t="s">
        <v>615</v>
      </c>
      <c r="L32" s="1409" t="s">
        <v>205</v>
      </c>
      <c r="M32" s="1251" t="s">
        <v>614</v>
      </c>
      <c r="N32" s="368" t="s">
        <v>616</v>
      </c>
      <c r="O32" s="1255" t="s">
        <v>615</v>
      </c>
      <c r="P32" s="1409" t="s">
        <v>205</v>
      </c>
      <c r="Q32" s="1251" t="s">
        <v>614</v>
      </c>
      <c r="R32" s="368" t="s">
        <v>616</v>
      </c>
      <c r="T32" s="212"/>
      <c r="U32" s="1249" t="s">
        <v>613</v>
      </c>
      <c r="V32" s="375" t="s">
        <v>614</v>
      </c>
      <c r="W32" s="648" t="s">
        <v>229</v>
      </c>
      <c r="X32" s="652" t="s">
        <v>617</v>
      </c>
      <c r="Y32" s="1255" t="s">
        <v>615</v>
      </c>
      <c r="Z32" s="1251" t="s">
        <v>614</v>
      </c>
      <c r="AA32" s="650" t="s">
        <v>616</v>
      </c>
      <c r="AB32" s="654" t="s">
        <v>617</v>
      </c>
      <c r="AC32" s="1255" t="s">
        <v>615</v>
      </c>
      <c r="AD32" s="1251" t="s">
        <v>614</v>
      </c>
      <c r="AE32" s="650" t="s">
        <v>616</v>
      </c>
      <c r="AF32" s="658" t="s">
        <v>617</v>
      </c>
      <c r="AG32" s="1255" t="s">
        <v>615</v>
      </c>
      <c r="AH32" s="1251" t="s">
        <v>614</v>
      </c>
      <c r="AI32" s="650" t="s">
        <v>616</v>
      </c>
      <c r="AJ32" s="658" t="s">
        <v>617</v>
      </c>
    </row>
    <row r="33" spans="1:36" ht="12.75" hidden="1" customHeight="1" x14ac:dyDescent="0.2">
      <c r="A33" s="1"/>
      <c r="B33" s="213" t="s">
        <v>152</v>
      </c>
      <c r="C33" s="1410"/>
      <c r="D33" s="1410" t="s">
        <v>618</v>
      </c>
      <c r="E33" s="106" t="s">
        <v>619</v>
      </c>
      <c r="F33" s="223" t="s">
        <v>596</v>
      </c>
      <c r="G33" s="1253"/>
      <c r="H33" s="1410" t="s">
        <v>618</v>
      </c>
      <c r="I33" s="1254"/>
      <c r="J33" s="369" t="s">
        <v>596</v>
      </c>
      <c r="K33" s="1253"/>
      <c r="L33" s="1410" t="s">
        <v>618</v>
      </c>
      <c r="M33" s="1254"/>
      <c r="N33" s="369" t="s">
        <v>596</v>
      </c>
      <c r="O33" s="1253"/>
      <c r="P33" s="1410" t="s">
        <v>618</v>
      </c>
      <c r="Q33" s="1254"/>
      <c r="R33" s="369" t="s">
        <v>596</v>
      </c>
      <c r="T33" s="213" t="s">
        <v>152</v>
      </c>
      <c r="U33" s="1250"/>
      <c r="V33" s="106" t="s">
        <v>619</v>
      </c>
      <c r="W33" s="649" t="s">
        <v>596</v>
      </c>
      <c r="X33" s="653"/>
      <c r="Y33" s="1253"/>
      <c r="Z33" s="1254"/>
      <c r="AA33" s="651" t="s">
        <v>596</v>
      </c>
      <c r="AB33" s="655"/>
      <c r="AC33" s="1253"/>
      <c r="AD33" s="1254"/>
      <c r="AE33" s="651" t="s">
        <v>596</v>
      </c>
      <c r="AF33" s="659"/>
      <c r="AG33" s="1253"/>
      <c r="AH33" s="1254"/>
      <c r="AI33" s="651" t="s">
        <v>596</v>
      </c>
      <c r="AJ33" s="659"/>
    </row>
    <row r="34" spans="1:36" hidden="1" x14ac:dyDescent="0.2">
      <c r="A34" s="599"/>
      <c r="B34" s="214" t="s">
        <v>620</v>
      </c>
      <c r="C34" s="60">
        <f t="shared" ref="C34:C65" si="0">G34+K34+O34</f>
        <v>0</v>
      </c>
      <c r="D34" s="60">
        <f t="shared" ref="D34:D65" si="1">H34+L34+P34</f>
        <v>0</v>
      </c>
      <c r="E34" s="60"/>
      <c r="F34" s="215"/>
      <c r="G34" s="379">
        <f>IF('Entrada Inver_Finan'!H109&lt;=C26,D90,0)</f>
        <v>0</v>
      </c>
      <c r="H34" s="60">
        <f>IF('Entrada Inver_Finan'!H109&lt;=C26,D102,0)</f>
        <v>0</v>
      </c>
      <c r="I34" s="60"/>
      <c r="J34" s="215"/>
      <c r="K34" s="379">
        <f>IF('Entrada Inver_Finan'!H110&lt;=C26,M90,0)</f>
        <v>0</v>
      </c>
      <c r="L34" s="60">
        <f>IF('Entrada Inver_Finan'!H110&lt;=C26,M102,0)</f>
        <v>0</v>
      </c>
      <c r="M34" s="60"/>
      <c r="N34" s="215"/>
      <c r="O34" s="379">
        <f>IF('Entrada Inver_Finan'!H111&lt;=C26,V90,0)</f>
        <v>0</v>
      </c>
      <c r="P34" s="60">
        <f>IF('Entrada Inver_Finan'!H111&lt;=C26,V102,0)</f>
        <v>0</v>
      </c>
      <c r="Q34" s="60"/>
      <c r="R34" s="215"/>
      <c r="T34" s="214"/>
      <c r="U34" s="60"/>
      <c r="V34" s="60"/>
      <c r="W34" s="215"/>
      <c r="X34" s="376"/>
      <c r="Y34" s="379"/>
      <c r="Z34" s="60"/>
      <c r="AA34" s="376"/>
      <c r="AB34" s="656"/>
      <c r="AC34" s="379"/>
      <c r="AD34" s="60"/>
      <c r="AE34" s="376"/>
      <c r="AF34" s="656"/>
      <c r="AG34" s="379"/>
      <c r="AH34" s="60"/>
      <c r="AI34" s="376"/>
      <c r="AJ34" s="656"/>
    </row>
    <row r="35" spans="1:36" hidden="1" x14ac:dyDescent="0.2">
      <c r="A35" s="599"/>
      <c r="B35" s="214">
        <f>DATE(D26,1,1)</f>
        <v>43831</v>
      </c>
      <c r="C35" s="60">
        <f t="shared" si="0"/>
        <v>0</v>
      </c>
      <c r="D35" s="60">
        <f t="shared" si="1"/>
        <v>0</v>
      </c>
      <c r="E35" s="60">
        <f t="shared" ref="E35:E82" si="2">I35+M35+Q35</f>
        <v>0</v>
      </c>
      <c r="F35" s="215">
        <f t="shared" ref="F35:F82" si="3">J35+N35+R35</f>
        <v>0</v>
      </c>
      <c r="G35" s="60">
        <f t="shared" ref="G35:G82" si="4">IF(AND(DATE(YEAR($B35),MONTH($B35),DAY(1))=DATE(YEAR($D$91),MONTH($D$91),DAY(1)),$G$34=0),$D$90,0)</f>
        <v>0</v>
      </c>
      <c r="H35" s="60">
        <f t="shared" ref="H35:H82" si="5">IF(AND(B35=$D$91,$H$34=0),$D$102,0)</f>
        <v>0</v>
      </c>
      <c r="I35" s="60">
        <f t="shared" ref="I35:I82" si="6">IF(ISERROR(VLOOKUP($B35,$C$110:$F$157,3,FALSE))=TRUE,0,VLOOKUP($B35,$C$110:$F$157,3,FALSE))</f>
        <v>0</v>
      </c>
      <c r="J35" s="215">
        <f t="shared" ref="J35:J82" si="7">IF(ISERROR(VLOOKUP($B35,$C$110:$F$157,4,FALSE))=TRUE,0,VLOOKUP($B35,$C$110:$F$157,4,FALSE))</f>
        <v>0</v>
      </c>
      <c r="K35" s="60">
        <f t="shared" ref="K35:K82" si="8">IF(AND(DATE(YEAR($B35),MONTH($B35),DAY(1))=DATE(YEAR($M$91),MONTH($M$91),DAY(1)),$K$34=0),$M$90,0)</f>
        <v>0</v>
      </c>
      <c r="L35" s="60">
        <f t="shared" ref="L35:L82" si="9">IF(AND(B35=$M$91,$L$34=0),$M$102,0)</f>
        <v>0</v>
      </c>
      <c r="M35" s="60">
        <f t="shared" ref="M35:M82" si="10">IF(ISERROR(VLOOKUP($B35,$L$110:$O$157,3,FALSE))=TRUE,0,VLOOKUP($B35,$L$110:$O$157,3,FALSE))</f>
        <v>0</v>
      </c>
      <c r="N35" s="215">
        <f t="shared" ref="N35:N82" si="11">IF(ISERROR(VLOOKUP($B35,$L$110:$O$157,4,FALSE))=TRUE,0,VLOOKUP($B35,$L$110:$O$157,4,FALSE))</f>
        <v>0</v>
      </c>
      <c r="O35" s="60">
        <f t="shared" ref="O35:O82" si="12">IF(AND(DATE(YEAR($B35),MONTH($B35),DAY(1))=DATE(YEAR($V$91),MONTH($V$91),DAY(1)),$O$34=0),$V$90,0)</f>
        <v>0</v>
      </c>
      <c r="P35" s="60">
        <f t="shared" ref="P35:P82" si="13">IF(AND(B35=$V$91,$P$34=0),$V$102,0)</f>
        <v>0</v>
      </c>
      <c r="Q35" s="60">
        <f t="shared" ref="Q35:Q82" si="14">IF(ISERROR(VLOOKUP($B35,$U$110:$X$157,3,FALSE))=TRUE,0,VLOOKUP($B35,$U$110:$X$157,3,FALSE))</f>
        <v>0</v>
      </c>
      <c r="R35" s="215">
        <f t="shared" ref="R35:R82" si="15">IF(ISERROR(VLOOKUP($B35,$U$110:$X$157,4,FALSE))=TRUE,0,VLOOKUP($B35,$U$110:$X$157,4,FALSE))</f>
        <v>0</v>
      </c>
      <c r="T35" s="214">
        <f>DATE(D26,1,1)</f>
        <v>43831</v>
      </c>
      <c r="U35" s="60">
        <f>Y35+AC35+AG35</f>
        <v>0</v>
      </c>
      <c r="V35" s="60">
        <f>Z35+AD35+AH35</f>
        <v>0</v>
      </c>
      <c r="W35" s="215">
        <f>AA35+AE35+AI35</f>
        <v>0</v>
      </c>
      <c r="X35" s="376">
        <f>AB35+AF35+AJ35</f>
        <v>0</v>
      </c>
      <c r="Y35" s="379">
        <f t="shared" ref="Y35:Y82" si="16">IF(DATE(YEAR($B35),MONTH($B35),DAY(1))=DATE(YEAR($AE$92),MONTH($AE$92),DAY(1)),$AE$91,0)</f>
        <v>0</v>
      </c>
      <c r="Z35" s="60">
        <f t="shared" ref="Z35:Z82" si="17">IF(ISERROR(VLOOKUP($T35,$AD$110:$AG$157,3,FALSE))=TRUE,0,VLOOKUP($T35,$AD$110:$AG$157,3,FALSE))</f>
        <v>0</v>
      </c>
      <c r="AA35" s="376">
        <f t="shared" ref="AA35:AA82" si="18">IF(ISERROR(VLOOKUP($T35,$AD$110:$AG$157,4,FALSE))=TRUE,0,VLOOKUP($T35,$AD$110:$AG$157,4,FALSE))</f>
        <v>0</v>
      </c>
      <c r="AB35" s="656">
        <f>(Z35+AA35)*'Datos generales'!$D$16</f>
        <v>0</v>
      </c>
      <c r="AC35" s="379">
        <f t="shared" ref="AC35:AC82" si="19">IF(DATE(YEAR($B35),MONTH($B35),DAY(1))=DATE(YEAR($AN$92),MONTH($AN$92),DAY(1)),$AN$91,0)</f>
        <v>0</v>
      </c>
      <c r="AD35" s="60">
        <f t="shared" ref="AD35:AD82" si="20">IF(ISERROR(VLOOKUP($T35,$AM$110:$AO$157,3,FALSE))=TRUE,0,VLOOKUP($T35,$AM$110:$AO$157,3,FALSE))</f>
        <v>0</v>
      </c>
      <c r="AE35" s="376">
        <f t="shared" ref="AE35:AE82" si="21">IF(ISERROR(VLOOKUP($T35,$AM$110:$AP$157,4,FALSE))=TRUE,0,VLOOKUP($T35,$AM$110:$AP$157,4,FALSE))</f>
        <v>0</v>
      </c>
      <c r="AF35" s="656">
        <f>(AD35+AE35)*'Datos generales'!$D$16</f>
        <v>0</v>
      </c>
      <c r="AG35" s="379">
        <f t="shared" ref="AG35:AG82" si="22">IF(DATE(YEAR($B35),MONTH($B35),DAY(1))=DATE(YEAR($AW$92),MONTH($AW$92),DAY(1)),$AW$91,0)</f>
        <v>0</v>
      </c>
      <c r="AH35" s="60">
        <f t="shared" ref="AH35:AH82" si="23">IF(ISERROR(VLOOKUP($T35,$AV$110:$AX$157,3,FALSE))=TRUE,0,VLOOKUP($T35,$AV$110:$AX$157,3,FALSE))</f>
        <v>0</v>
      </c>
      <c r="AI35" s="376">
        <f t="shared" ref="AI35:AI82" si="24">IF(ISERROR(VLOOKUP($T35,$AV$110:$AY$157,4,FALSE))=TRUE,0,VLOOKUP($T35,$AV$110:$AY$157,4,FALSE))</f>
        <v>0</v>
      </c>
      <c r="AJ35" s="656">
        <f>(AH35+AI35)*'Datos generales'!$D$16</f>
        <v>0</v>
      </c>
    </row>
    <row r="36" spans="1:36" hidden="1" x14ac:dyDescent="0.2">
      <c r="A36" s="599"/>
      <c r="B36" s="214">
        <f>DATE(YEAR(B35),MONTH(B35)+1,DAY(B35))</f>
        <v>43862</v>
      </c>
      <c r="C36" s="60">
        <f t="shared" si="0"/>
        <v>0</v>
      </c>
      <c r="D36" s="60">
        <f t="shared" si="1"/>
        <v>0</v>
      </c>
      <c r="E36" s="60">
        <f t="shared" si="2"/>
        <v>0</v>
      </c>
      <c r="F36" s="215">
        <f t="shared" si="3"/>
        <v>0</v>
      </c>
      <c r="G36" s="60">
        <f t="shared" si="4"/>
        <v>0</v>
      </c>
      <c r="H36" s="60">
        <f t="shared" si="5"/>
        <v>0</v>
      </c>
      <c r="I36" s="60">
        <f t="shared" si="6"/>
        <v>0</v>
      </c>
      <c r="J36" s="215">
        <f t="shared" si="7"/>
        <v>0</v>
      </c>
      <c r="K36" s="60">
        <f t="shared" si="8"/>
        <v>0</v>
      </c>
      <c r="L36" s="60">
        <f t="shared" si="9"/>
        <v>0</v>
      </c>
      <c r="M36" s="60">
        <f t="shared" si="10"/>
        <v>0</v>
      </c>
      <c r="N36" s="215">
        <f t="shared" si="11"/>
        <v>0</v>
      </c>
      <c r="O36" s="60">
        <f t="shared" si="12"/>
        <v>0</v>
      </c>
      <c r="P36" s="60">
        <f t="shared" si="13"/>
        <v>0</v>
      </c>
      <c r="Q36" s="60">
        <f t="shared" si="14"/>
        <v>0</v>
      </c>
      <c r="R36" s="215">
        <f t="shared" si="15"/>
        <v>0</v>
      </c>
      <c r="T36" s="214">
        <f>DATE(YEAR(T35),MONTH(T35)+1,DAY(T35))</f>
        <v>43862</v>
      </c>
      <c r="U36" s="60">
        <f t="shared" ref="U36:W41" si="25">Y36+AC36+AG36</f>
        <v>0</v>
      </c>
      <c r="V36" s="60">
        <f t="shared" si="25"/>
        <v>0</v>
      </c>
      <c r="W36" s="215">
        <f t="shared" si="25"/>
        <v>0</v>
      </c>
      <c r="X36" s="376">
        <f t="shared" ref="X36:X82" si="26">AB36+AF36+AJ36</f>
        <v>0</v>
      </c>
      <c r="Y36" s="379">
        <f t="shared" si="16"/>
        <v>0</v>
      </c>
      <c r="Z36" s="60">
        <f t="shared" si="17"/>
        <v>0</v>
      </c>
      <c r="AA36" s="376">
        <f t="shared" si="18"/>
        <v>0</v>
      </c>
      <c r="AB36" s="656">
        <f>(Z36+AA36)*'Datos generales'!$D$16</f>
        <v>0</v>
      </c>
      <c r="AC36" s="379">
        <f t="shared" si="19"/>
        <v>0</v>
      </c>
      <c r="AD36" s="60">
        <f t="shared" si="20"/>
        <v>0</v>
      </c>
      <c r="AE36" s="376">
        <f t="shared" si="21"/>
        <v>0</v>
      </c>
      <c r="AF36" s="656">
        <f>(AD36+AE36)*'Datos generales'!$D$16</f>
        <v>0</v>
      </c>
      <c r="AG36" s="379">
        <f t="shared" si="22"/>
        <v>0</v>
      </c>
      <c r="AH36" s="60">
        <f t="shared" si="23"/>
        <v>0</v>
      </c>
      <c r="AI36" s="376">
        <f t="shared" si="24"/>
        <v>0</v>
      </c>
      <c r="AJ36" s="656">
        <f>(AH36+AI36)*'Datos generales'!$D$16</f>
        <v>0</v>
      </c>
    </row>
    <row r="37" spans="1:36" hidden="1" x14ac:dyDescent="0.2">
      <c r="A37" s="599"/>
      <c r="B37" s="214">
        <f t="shared" ref="B37:B82" si="27">DATE(YEAR(B36),MONTH(B36)+1,DAY(B36))</f>
        <v>43891</v>
      </c>
      <c r="C37" s="60">
        <f t="shared" si="0"/>
        <v>0</v>
      </c>
      <c r="D37" s="60">
        <f t="shared" si="1"/>
        <v>0</v>
      </c>
      <c r="E37" s="60">
        <f t="shared" si="2"/>
        <v>0</v>
      </c>
      <c r="F37" s="215">
        <f t="shared" si="3"/>
        <v>0</v>
      </c>
      <c r="G37" s="60">
        <f t="shared" si="4"/>
        <v>0</v>
      </c>
      <c r="H37" s="60">
        <f t="shared" si="5"/>
        <v>0</v>
      </c>
      <c r="I37" s="60">
        <f t="shared" si="6"/>
        <v>0</v>
      </c>
      <c r="J37" s="215">
        <f t="shared" si="7"/>
        <v>0</v>
      </c>
      <c r="K37" s="60">
        <f t="shared" si="8"/>
        <v>0</v>
      </c>
      <c r="L37" s="60">
        <f t="shared" si="9"/>
        <v>0</v>
      </c>
      <c r="M37" s="60">
        <f t="shared" si="10"/>
        <v>0</v>
      </c>
      <c r="N37" s="215">
        <f t="shared" si="11"/>
        <v>0</v>
      </c>
      <c r="O37" s="60">
        <f t="shared" si="12"/>
        <v>0</v>
      </c>
      <c r="P37" s="60">
        <f t="shared" si="13"/>
        <v>0</v>
      </c>
      <c r="Q37" s="60">
        <f t="shared" si="14"/>
        <v>0</v>
      </c>
      <c r="R37" s="215">
        <f t="shared" si="15"/>
        <v>0</v>
      </c>
      <c r="T37" s="214">
        <f t="shared" ref="T37:T82" si="28">DATE(YEAR(T36),MONTH(T36)+1,DAY(T36))</f>
        <v>43891</v>
      </c>
      <c r="U37" s="60">
        <f t="shared" si="25"/>
        <v>0</v>
      </c>
      <c r="V37" s="60">
        <f t="shared" si="25"/>
        <v>0</v>
      </c>
      <c r="W37" s="215">
        <f t="shared" si="25"/>
        <v>0</v>
      </c>
      <c r="X37" s="376">
        <f t="shared" si="26"/>
        <v>0</v>
      </c>
      <c r="Y37" s="379">
        <f t="shared" si="16"/>
        <v>0</v>
      </c>
      <c r="Z37" s="60">
        <f t="shared" si="17"/>
        <v>0</v>
      </c>
      <c r="AA37" s="376">
        <f t="shared" si="18"/>
        <v>0</v>
      </c>
      <c r="AB37" s="656">
        <f>(Z37+AA37)*'Datos generales'!$D$16</f>
        <v>0</v>
      </c>
      <c r="AC37" s="379">
        <f t="shared" si="19"/>
        <v>0</v>
      </c>
      <c r="AD37" s="60">
        <f t="shared" si="20"/>
        <v>0</v>
      </c>
      <c r="AE37" s="376">
        <f t="shared" si="21"/>
        <v>0</v>
      </c>
      <c r="AF37" s="656">
        <f>(AD37+AE37)*'Datos generales'!$D$16</f>
        <v>0</v>
      </c>
      <c r="AG37" s="379">
        <f t="shared" si="22"/>
        <v>0</v>
      </c>
      <c r="AH37" s="60">
        <f t="shared" si="23"/>
        <v>0</v>
      </c>
      <c r="AI37" s="376">
        <f t="shared" si="24"/>
        <v>0</v>
      </c>
      <c r="AJ37" s="656">
        <f>(AH37+AI37)*'Datos generales'!$D$16</f>
        <v>0</v>
      </c>
    </row>
    <row r="38" spans="1:36" hidden="1" x14ac:dyDescent="0.2">
      <c r="A38" s="599"/>
      <c r="B38" s="214">
        <f t="shared" si="27"/>
        <v>43922</v>
      </c>
      <c r="C38" s="60">
        <f t="shared" si="0"/>
        <v>0</v>
      </c>
      <c r="D38" s="60">
        <f t="shared" si="1"/>
        <v>0</v>
      </c>
      <c r="E38" s="60">
        <f t="shared" si="2"/>
        <v>0</v>
      </c>
      <c r="F38" s="215">
        <f t="shared" si="3"/>
        <v>0</v>
      </c>
      <c r="G38" s="60">
        <f t="shared" si="4"/>
        <v>0</v>
      </c>
      <c r="H38" s="60">
        <f t="shared" si="5"/>
        <v>0</v>
      </c>
      <c r="I38" s="60">
        <f t="shared" si="6"/>
        <v>0</v>
      </c>
      <c r="J38" s="215">
        <f t="shared" si="7"/>
        <v>0</v>
      </c>
      <c r="K38" s="60">
        <f t="shared" si="8"/>
        <v>0</v>
      </c>
      <c r="L38" s="60">
        <f t="shared" si="9"/>
        <v>0</v>
      </c>
      <c r="M38" s="60">
        <f t="shared" si="10"/>
        <v>0</v>
      </c>
      <c r="N38" s="215">
        <f t="shared" si="11"/>
        <v>0</v>
      </c>
      <c r="O38" s="60">
        <f t="shared" si="12"/>
        <v>0</v>
      </c>
      <c r="P38" s="60">
        <f t="shared" si="13"/>
        <v>0</v>
      </c>
      <c r="Q38" s="60">
        <f t="shared" si="14"/>
        <v>0</v>
      </c>
      <c r="R38" s="215">
        <f t="shared" si="15"/>
        <v>0</v>
      </c>
      <c r="T38" s="214">
        <f t="shared" si="28"/>
        <v>43922</v>
      </c>
      <c r="U38" s="60">
        <f t="shared" si="25"/>
        <v>0</v>
      </c>
      <c r="V38" s="60">
        <f t="shared" si="25"/>
        <v>0</v>
      </c>
      <c r="W38" s="215">
        <f t="shared" si="25"/>
        <v>0</v>
      </c>
      <c r="X38" s="376">
        <f t="shared" si="26"/>
        <v>0</v>
      </c>
      <c r="Y38" s="379">
        <f t="shared" si="16"/>
        <v>0</v>
      </c>
      <c r="Z38" s="60">
        <f t="shared" si="17"/>
        <v>0</v>
      </c>
      <c r="AA38" s="376">
        <f t="shared" si="18"/>
        <v>0</v>
      </c>
      <c r="AB38" s="656">
        <f>(Z38+AA38)*'Datos generales'!$D$16</f>
        <v>0</v>
      </c>
      <c r="AC38" s="379">
        <f t="shared" si="19"/>
        <v>0</v>
      </c>
      <c r="AD38" s="60">
        <f t="shared" si="20"/>
        <v>0</v>
      </c>
      <c r="AE38" s="376">
        <f t="shared" si="21"/>
        <v>0</v>
      </c>
      <c r="AF38" s="656">
        <f>(AD38+AE38)*'Datos generales'!$D$16</f>
        <v>0</v>
      </c>
      <c r="AG38" s="379">
        <f t="shared" si="22"/>
        <v>0</v>
      </c>
      <c r="AH38" s="60">
        <f t="shared" si="23"/>
        <v>0</v>
      </c>
      <c r="AI38" s="376">
        <f t="shared" si="24"/>
        <v>0</v>
      </c>
      <c r="AJ38" s="656">
        <f>(AH38+AI38)*'Datos generales'!$D$16</f>
        <v>0</v>
      </c>
    </row>
    <row r="39" spans="1:36" hidden="1" x14ac:dyDescent="0.2">
      <c r="A39" s="599"/>
      <c r="B39" s="214">
        <f t="shared" si="27"/>
        <v>43952</v>
      </c>
      <c r="C39" s="60">
        <f t="shared" si="0"/>
        <v>0</v>
      </c>
      <c r="D39" s="60">
        <f t="shared" si="1"/>
        <v>0</v>
      </c>
      <c r="E39" s="60">
        <f t="shared" si="2"/>
        <v>0</v>
      </c>
      <c r="F39" s="215">
        <f t="shared" si="3"/>
        <v>0</v>
      </c>
      <c r="G39" s="60">
        <f t="shared" si="4"/>
        <v>0</v>
      </c>
      <c r="H39" s="60">
        <f t="shared" si="5"/>
        <v>0</v>
      </c>
      <c r="I39" s="60">
        <f t="shared" si="6"/>
        <v>0</v>
      </c>
      <c r="J39" s="215">
        <f t="shared" si="7"/>
        <v>0</v>
      </c>
      <c r="K39" s="60">
        <f t="shared" si="8"/>
        <v>0</v>
      </c>
      <c r="L39" s="60">
        <f t="shared" si="9"/>
        <v>0</v>
      </c>
      <c r="M39" s="60">
        <f t="shared" si="10"/>
        <v>0</v>
      </c>
      <c r="N39" s="215">
        <f t="shared" si="11"/>
        <v>0</v>
      </c>
      <c r="O39" s="60">
        <f t="shared" si="12"/>
        <v>0</v>
      </c>
      <c r="P39" s="60">
        <f t="shared" si="13"/>
        <v>0</v>
      </c>
      <c r="Q39" s="60">
        <f t="shared" si="14"/>
        <v>0</v>
      </c>
      <c r="R39" s="215">
        <f t="shared" si="15"/>
        <v>0</v>
      </c>
      <c r="T39" s="214">
        <f t="shared" si="28"/>
        <v>43952</v>
      </c>
      <c r="U39" s="60">
        <f t="shared" si="25"/>
        <v>0</v>
      </c>
      <c r="V39" s="60">
        <f t="shared" si="25"/>
        <v>0</v>
      </c>
      <c r="W39" s="215">
        <f t="shared" si="25"/>
        <v>0</v>
      </c>
      <c r="X39" s="376">
        <f t="shared" si="26"/>
        <v>0</v>
      </c>
      <c r="Y39" s="379">
        <f t="shared" si="16"/>
        <v>0</v>
      </c>
      <c r="Z39" s="60">
        <f t="shared" si="17"/>
        <v>0</v>
      </c>
      <c r="AA39" s="376">
        <f t="shared" si="18"/>
        <v>0</v>
      </c>
      <c r="AB39" s="656">
        <f>(Z39+AA39)*'Datos generales'!$D$16</f>
        <v>0</v>
      </c>
      <c r="AC39" s="379">
        <f t="shared" si="19"/>
        <v>0</v>
      </c>
      <c r="AD39" s="60">
        <f t="shared" si="20"/>
        <v>0</v>
      </c>
      <c r="AE39" s="376">
        <f t="shared" si="21"/>
        <v>0</v>
      </c>
      <c r="AF39" s="656">
        <f>(AD39+AE39)*'Datos generales'!$D$16</f>
        <v>0</v>
      </c>
      <c r="AG39" s="379">
        <f t="shared" si="22"/>
        <v>0</v>
      </c>
      <c r="AH39" s="60">
        <f t="shared" si="23"/>
        <v>0</v>
      </c>
      <c r="AI39" s="376">
        <f t="shared" si="24"/>
        <v>0</v>
      </c>
      <c r="AJ39" s="656">
        <f>(AH39+AI39)*'Datos generales'!$D$16</f>
        <v>0</v>
      </c>
    </row>
    <row r="40" spans="1:36" hidden="1" x14ac:dyDescent="0.2">
      <c r="A40" s="599"/>
      <c r="B40" s="214">
        <f t="shared" si="27"/>
        <v>43983</v>
      </c>
      <c r="C40" s="60">
        <f t="shared" si="0"/>
        <v>0</v>
      </c>
      <c r="D40" s="60">
        <f t="shared" si="1"/>
        <v>0</v>
      </c>
      <c r="E40" s="60">
        <f t="shared" si="2"/>
        <v>0</v>
      </c>
      <c r="F40" s="215">
        <f t="shared" si="3"/>
        <v>0</v>
      </c>
      <c r="G40" s="60">
        <f t="shared" si="4"/>
        <v>0</v>
      </c>
      <c r="H40" s="60">
        <f t="shared" si="5"/>
        <v>0</v>
      </c>
      <c r="I40" s="60">
        <f t="shared" si="6"/>
        <v>0</v>
      </c>
      <c r="J40" s="215">
        <f t="shared" si="7"/>
        <v>0</v>
      </c>
      <c r="K40" s="60">
        <f t="shared" si="8"/>
        <v>0</v>
      </c>
      <c r="L40" s="60">
        <f t="shared" si="9"/>
        <v>0</v>
      </c>
      <c r="M40" s="60">
        <f t="shared" si="10"/>
        <v>0</v>
      </c>
      <c r="N40" s="215">
        <f t="shared" si="11"/>
        <v>0</v>
      </c>
      <c r="O40" s="60">
        <f t="shared" si="12"/>
        <v>0</v>
      </c>
      <c r="P40" s="60">
        <f t="shared" si="13"/>
        <v>0</v>
      </c>
      <c r="Q40" s="60">
        <f t="shared" si="14"/>
        <v>0</v>
      </c>
      <c r="R40" s="215">
        <f t="shared" si="15"/>
        <v>0</v>
      </c>
      <c r="T40" s="214">
        <f t="shared" si="28"/>
        <v>43983</v>
      </c>
      <c r="U40" s="60">
        <f t="shared" si="25"/>
        <v>0</v>
      </c>
      <c r="V40" s="60">
        <f t="shared" si="25"/>
        <v>0</v>
      </c>
      <c r="W40" s="215">
        <f t="shared" si="25"/>
        <v>0</v>
      </c>
      <c r="X40" s="376">
        <f t="shared" si="26"/>
        <v>0</v>
      </c>
      <c r="Y40" s="379">
        <f t="shared" si="16"/>
        <v>0</v>
      </c>
      <c r="Z40" s="60">
        <f t="shared" si="17"/>
        <v>0</v>
      </c>
      <c r="AA40" s="376">
        <f t="shared" si="18"/>
        <v>0</v>
      </c>
      <c r="AB40" s="656">
        <f>(Z40+AA40)*'Datos generales'!$D$16</f>
        <v>0</v>
      </c>
      <c r="AC40" s="379">
        <f t="shared" si="19"/>
        <v>0</v>
      </c>
      <c r="AD40" s="60">
        <f t="shared" si="20"/>
        <v>0</v>
      </c>
      <c r="AE40" s="376">
        <f t="shared" si="21"/>
        <v>0</v>
      </c>
      <c r="AF40" s="656">
        <f>(AD40+AE40)*'Datos generales'!$D$16</f>
        <v>0</v>
      </c>
      <c r="AG40" s="379">
        <f t="shared" si="22"/>
        <v>0</v>
      </c>
      <c r="AH40" s="60">
        <f t="shared" si="23"/>
        <v>0</v>
      </c>
      <c r="AI40" s="376">
        <f t="shared" si="24"/>
        <v>0</v>
      </c>
      <c r="AJ40" s="656">
        <f>(AH40+AI40)*'Datos generales'!$D$16</f>
        <v>0</v>
      </c>
    </row>
    <row r="41" spans="1:36" hidden="1" x14ac:dyDescent="0.2">
      <c r="A41" s="599"/>
      <c r="B41" s="214">
        <f t="shared" si="27"/>
        <v>44013</v>
      </c>
      <c r="C41" s="60">
        <f t="shared" si="0"/>
        <v>0</v>
      </c>
      <c r="D41" s="60">
        <f t="shared" si="1"/>
        <v>0</v>
      </c>
      <c r="E41" s="60">
        <f t="shared" si="2"/>
        <v>0</v>
      </c>
      <c r="F41" s="215">
        <f t="shared" si="3"/>
        <v>0</v>
      </c>
      <c r="G41" s="60">
        <f t="shared" si="4"/>
        <v>0</v>
      </c>
      <c r="H41" s="60">
        <f t="shared" si="5"/>
        <v>0</v>
      </c>
      <c r="I41" s="60">
        <f t="shared" si="6"/>
        <v>0</v>
      </c>
      <c r="J41" s="215">
        <f t="shared" si="7"/>
        <v>0</v>
      </c>
      <c r="K41" s="60">
        <f t="shared" si="8"/>
        <v>0</v>
      </c>
      <c r="L41" s="60">
        <f t="shared" si="9"/>
        <v>0</v>
      </c>
      <c r="M41" s="60">
        <f t="shared" si="10"/>
        <v>0</v>
      </c>
      <c r="N41" s="215">
        <f t="shared" si="11"/>
        <v>0</v>
      </c>
      <c r="O41" s="60">
        <f t="shared" si="12"/>
        <v>0</v>
      </c>
      <c r="P41" s="60">
        <f t="shared" si="13"/>
        <v>0</v>
      </c>
      <c r="Q41" s="60">
        <f t="shared" si="14"/>
        <v>0</v>
      </c>
      <c r="R41" s="215">
        <f t="shared" si="15"/>
        <v>0</v>
      </c>
      <c r="T41" s="214">
        <f t="shared" si="28"/>
        <v>44013</v>
      </c>
      <c r="U41" s="60">
        <f t="shared" ref="U41:U82" si="29">Y41+AC41+AG41</f>
        <v>0</v>
      </c>
      <c r="V41" s="60">
        <f t="shared" si="25"/>
        <v>0</v>
      </c>
      <c r="W41" s="215">
        <f t="shared" ref="W41:W82" si="30">AA41+AE41+AI41</f>
        <v>0</v>
      </c>
      <c r="X41" s="376">
        <f t="shared" si="26"/>
        <v>0</v>
      </c>
      <c r="Y41" s="379">
        <f t="shared" si="16"/>
        <v>0</v>
      </c>
      <c r="Z41" s="60">
        <f t="shared" si="17"/>
        <v>0</v>
      </c>
      <c r="AA41" s="376">
        <f t="shared" si="18"/>
        <v>0</v>
      </c>
      <c r="AB41" s="656">
        <f>(Z41+AA41)*'Datos generales'!$D$16</f>
        <v>0</v>
      </c>
      <c r="AC41" s="379">
        <f t="shared" si="19"/>
        <v>0</v>
      </c>
      <c r="AD41" s="60">
        <f t="shared" si="20"/>
        <v>0</v>
      </c>
      <c r="AE41" s="376">
        <f t="shared" si="21"/>
        <v>0</v>
      </c>
      <c r="AF41" s="656">
        <f>(AD41+AE41)*'Datos generales'!$D$16</f>
        <v>0</v>
      </c>
      <c r="AG41" s="379">
        <f t="shared" si="22"/>
        <v>0</v>
      </c>
      <c r="AH41" s="60">
        <f t="shared" si="23"/>
        <v>0</v>
      </c>
      <c r="AI41" s="376">
        <f t="shared" si="24"/>
        <v>0</v>
      </c>
      <c r="AJ41" s="656">
        <f>(AH41+AI41)*'Datos generales'!$D$16</f>
        <v>0</v>
      </c>
    </row>
    <row r="42" spans="1:36" hidden="1" x14ac:dyDescent="0.2">
      <c r="A42" s="599"/>
      <c r="B42" s="214">
        <f t="shared" si="27"/>
        <v>44044</v>
      </c>
      <c r="C42" s="60">
        <f t="shared" si="0"/>
        <v>0</v>
      </c>
      <c r="D42" s="60">
        <f t="shared" si="1"/>
        <v>0</v>
      </c>
      <c r="E42" s="60">
        <f t="shared" si="2"/>
        <v>0</v>
      </c>
      <c r="F42" s="215">
        <f t="shared" si="3"/>
        <v>0</v>
      </c>
      <c r="G42" s="60">
        <f t="shared" si="4"/>
        <v>0</v>
      </c>
      <c r="H42" s="60">
        <f t="shared" si="5"/>
        <v>0</v>
      </c>
      <c r="I42" s="60">
        <f t="shared" si="6"/>
        <v>0</v>
      </c>
      <c r="J42" s="215">
        <f t="shared" si="7"/>
        <v>0</v>
      </c>
      <c r="K42" s="60">
        <f t="shared" si="8"/>
        <v>0</v>
      </c>
      <c r="L42" s="60">
        <f t="shared" si="9"/>
        <v>0</v>
      </c>
      <c r="M42" s="60">
        <f t="shared" si="10"/>
        <v>0</v>
      </c>
      <c r="N42" s="215">
        <f t="shared" si="11"/>
        <v>0</v>
      </c>
      <c r="O42" s="60">
        <f t="shared" si="12"/>
        <v>0</v>
      </c>
      <c r="P42" s="60">
        <f t="shared" si="13"/>
        <v>0</v>
      </c>
      <c r="Q42" s="60">
        <f t="shared" si="14"/>
        <v>0</v>
      </c>
      <c r="R42" s="215">
        <f t="shared" si="15"/>
        <v>0</v>
      </c>
      <c r="T42" s="214">
        <f t="shared" si="28"/>
        <v>44044</v>
      </c>
      <c r="U42" s="60">
        <f t="shared" si="29"/>
        <v>0</v>
      </c>
      <c r="V42" s="60">
        <f t="shared" ref="V42:V82" si="31">Z42+AD42+AH42</f>
        <v>0</v>
      </c>
      <c r="W42" s="215">
        <f t="shared" si="30"/>
        <v>0</v>
      </c>
      <c r="X42" s="376">
        <f t="shared" si="26"/>
        <v>0</v>
      </c>
      <c r="Y42" s="379">
        <f t="shared" si="16"/>
        <v>0</v>
      </c>
      <c r="Z42" s="60">
        <f t="shared" si="17"/>
        <v>0</v>
      </c>
      <c r="AA42" s="376">
        <f t="shared" si="18"/>
        <v>0</v>
      </c>
      <c r="AB42" s="656">
        <f>(Z42+AA42)*'Datos generales'!$D$16</f>
        <v>0</v>
      </c>
      <c r="AC42" s="379">
        <f t="shared" si="19"/>
        <v>0</v>
      </c>
      <c r="AD42" s="60">
        <f t="shared" si="20"/>
        <v>0</v>
      </c>
      <c r="AE42" s="376">
        <f t="shared" si="21"/>
        <v>0</v>
      </c>
      <c r="AF42" s="656">
        <f>(AD42+AE42)*'Datos generales'!$D$16</f>
        <v>0</v>
      </c>
      <c r="AG42" s="379">
        <f t="shared" si="22"/>
        <v>0</v>
      </c>
      <c r="AH42" s="60">
        <f t="shared" si="23"/>
        <v>0</v>
      </c>
      <c r="AI42" s="376">
        <f t="shared" si="24"/>
        <v>0</v>
      </c>
      <c r="AJ42" s="656">
        <f>(AH42+AI42)*'Datos generales'!$D$16</f>
        <v>0</v>
      </c>
    </row>
    <row r="43" spans="1:36" hidden="1" x14ac:dyDescent="0.2">
      <c r="A43" s="599"/>
      <c r="B43" s="214">
        <f t="shared" si="27"/>
        <v>44075</v>
      </c>
      <c r="C43" s="60">
        <f t="shared" si="0"/>
        <v>0</v>
      </c>
      <c r="D43" s="60">
        <f t="shared" si="1"/>
        <v>0</v>
      </c>
      <c r="E43" s="60">
        <f t="shared" si="2"/>
        <v>0</v>
      </c>
      <c r="F43" s="215">
        <f t="shared" si="3"/>
        <v>0</v>
      </c>
      <c r="G43" s="60">
        <f t="shared" si="4"/>
        <v>0</v>
      </c>
      <c r="H43" s="60">
        <f t="shared" si="5"/>
        <v>0</v>
      </c>
      <c r="I43" s="60">
        <f t="shared" si="6"/>
        <v>0</v>
      </c>
      <c r="J43" s="215">
        <f t="shared" si="7"/>
        <v>0</v>
      </c>
      <c r="K43" s="60">
        <f t="shared" si="8"/>
        <v>0</v>
      </c>
      <c r="L43" s="60">
        <f t="shared" si="9"/>
        <v>0</v>
      </c>
      <c r="M43" s="60">
        <f t="shared" si="10"/>
        <v>0</v>
      </c>
      <c r="N43" s="215">
        <f t="shared" si="11"/>
        <v>0</v>
      </c>
      <c r="O43" s="60">
        <f t="shared" si="12"/>
        <v>0</v>
      </c>
      <c r="P43" s="60">
        <f t="shared" si="13"/>
        <v>0</v>
      </c>
      <c r="Q43" s="60">
        <f t="shared" si="14"/>
        <v>0</v>
      </c>
      <c r="R43" s="215">
        <f t="shared" si="15"/>
        <v>0</v>
      </c>
      <c r="T43" s="214">
        <f t="shared" si="28"/>
        <v>44075</v>
      </c>
      <c r="U43" s="60">
        <f t="shared" si="29"/>
        <v>0</v>
      </c>
      <c r="V43" s="60">
        <f t="shared" si="31"/>
        <v>0</v>
      </c>
      <c r="W43" s="215">
        <f t="shared" si="30"/>
        <v>0</v>
      </c>
      <c r="X43" s="376">
        <f t="shared" si="26"/>
        <v>0</v>
      </c>
      <c r="Y43" s="379">
        <f t="shared" si="16"/>
        <v>0</v>
      </c>
      <c r="Z43" s="60">
        <f t="shared" si="17"/>
        <v>0</v>
      </c>
      <c r="AA43" s="376">
        <f t="shared" si="18"/>
        <v>0</v>
      </c>
      <c r="AB43" s="656">
        <f>(Z43+AA43)*'Datos generales'!$D$16</f>
        <v>0</v>
      </c>
      <c r="AC43" s="379">
        <f t="shared" si="19"/>
        <v>0</v>
      </c>
      <c r="AD43" s="60">
        <f t="shared" si="20"/>
        <v>0</v>
      </c>
      <c r="AE43" s="376">
        <f t="shared" si="21"/>
        <v>0</v>
      </c>
      <c r="AF43" s="656">
        <f>(AD43+AE43)*'Datos generales'!$D$16</f>
        <v>0</v>
      </c>
      <c r="AG43" s="379">
        <f t="shared" si="22"/>
        <v>0</v>
      </c>
      <c r="AH43" s="60">
        <f t="shared" si="23"/>
        <v>0</v>
      </c>
      <c r="AI43" s="376">
        <f t="shared" si="24"/>
        <v>0</v>
      </c>
      <c r="AJ43" s="656">
        <f>(AH43+AI43)*'Datos generales'!$D$16</f>
        <v>0</v>
      </c>
    </row>
    <row r="44" spans="1:36" hidden="1" x14ac:dyDescent="0.2">
      <c r="A44" s="599"/>
      <c r="B44" s="214">
        <f t="shared" si="27"/>
        <v>44105</v>
      </c>
      <c r="C44" s="60">
        <f t="shared" si="0"/>
        <v>0</v>
      </c>
      <c r="D44" s="60">
        <f t="shared" si="1"/>
        <v>0</v>
      </c>
      <c r="E44" s="60">
        <f t="shared" si="2"/>
        <v>0</v>
      </c>
      <c r="F44" s="215">
        <f t="shared" si="3"/>
        <v>0</v>
      </c>
      <c r="G44" s="60">
        <f t="shared" si="4"/>
        <v>0</v>
      </c>
      <c r="H44" s="60">
        <f t="shared" si="5"/>
        <v>0</v>
      </c>
      <c r="I44" s="60">
        <f t="shared" si="6"/>
        <v>0</v>
      </c>
      <c r="J44" s="215">
        <f t="shared" si="7"/>
        <v>0</v>
      </c>
      <c r="K44" s="60">
        <f t="shared" si="8"/>
        <v>0</v>
      </c>
      <c r="L44" s="60">
        <f t="shared" si="9"/>
        <v>0</v>
      </c>
      <c r="M44" s="60">
        <f t="shared" si="10"/>
        <v>0</v>
      </c>
      <c r="N44" s="215">
        <f t="shared" si="11"/>
        <v>0</v>
      </c>
      <c r="O44" s="60">
        <f t="shared" si="12"/>
        <v>0</v>
      </c>
      <c r="P44" s="60">
        <f t="shared" si="13"/>
        <v>0</v>
      </c>
      <c r="Q44" s="60">
        <f t="shared" si="14"/>
        <v>0</v>
      </c>
      <c r="R44" s="215">
        <f t="shared" si="15"/>
        <v>0</v>
      </c>
      <c r="T44" s="214">
        <f t="shared" si="28"/>
        <v>44105</v>
      </c>
      <c r="U44" s="60">
        <f t="shared" si="29"/>
        <v>0</v>
      </c>
      <c r="V44" s="60">
        <f t="shared" si="31"/>
        <v>0</v>
      </c>
      <c r="W44" s="215">
        <f t="shared" si="30"/>
        <v>0</v>
      </c>
      <c r="X44" s="376">
        <f t="shared" si="26"/>
        <v>0</v>
      </c>
      <c r="Y44" s="379">
        <f t="shared" si="16"/>
        <v>0</v>
      </c>
      <c r="Z44" s="60">
        <f t="shared" si="17"/>
        <v>0</v>
      </c>
      <c r="AA44" s="376">
        <f t="shared" si="18"/>
        <v>0</v>
      </c>
      <c r="AB44" s="656">
        <f>(Z44+AA44)*'Datos generales'!$D$16</f>
        <v>0</v>
      </c>
      <c r="AC44" s="379">
        <f t="shared" si="19"/>
        <v>0</v>
      </c>
      <c r="AD44" s="60">
        <f t="shared" si="20"/>
        <v>0</v>
      </c>
      <c r="AE44" s="376">
        <f t="shared" si="21"/>
        <v>0</v>
      </c>
      <c r="AF44" s="656">
        <f>(AD44+AE44)*'Datos generales'!$D$16</f>
        <v>0</v>
      </c>
      <c r="AG44" s="379">
        <f t="shared" si="22"/>
        <v>0</v>
      </c>
      <c r="AH44" s="60">
        <f t="shared" si="23"/>
        <v>0</v>
      </c>
      <c r="AI44" s="376">
        <f t="shared" si="24"/>
        <v>0</v>
      </c>
      <c r="AJ44" s="656">
        <f>(AH44+AI44)*'Datos generales'!$D$16</f>
        <v>0</v>
      </c>
    </row>
    <row r="45" spans="1:36" hidden="1" x14ac:dyDescent="0.2">
      <c r="A45" s="599"/>
      <c r="B45" s="214">
        <f t="shared" si="27"/>
        <v>44136</v>
      </c>
      <c r="C45" s="60">
        <f t="shared" si="0"/>
        <v>0</v>
      </c>
      <c r="D45" s="60">
        <f t="shared" si="1"/>
        <v>0</v>
      </c>
      <c r="E45" s="60">
        <f t="shared" si="2"/>
        <v>0</v>
      </c>
      <c r="F45" s="215">
        <f t="shared" si="3"/>
        <v>0</v>
      </c>
      <c r="G45" s="60">
        <f t="shared" si="4"/>
        <v>0</v>
      </c>
      <c r="H45" s="60">
        <f t="shared" si="5"/>
        <v>0</v>
      </c>
      <c r="I45" s="60">
        <f t="shared" si="6"/>
        <v>0</v>
      </c>
      <c r="J45" s="215">
        <f t="shared" si="7"/>
        <v>0</v>
      </c>
      <c r="K45" s="60">
        <f t="shared" si="8"/>
        <v>0</v>
      </c>
      <c r="L45" s="60">
        <f t="shared" si="9"/>
        <v>0</v>
      </c>
      <c r="M45" s="60">
        <f t="shared" si="10"/>
        <v>0</v>
      </c>
      <c r="N45" s="215">
        <f t="shared" si="11"/>
        <v>0</v>
      </c>
      <c r="O45" s="60">
        <f t="shared" si="12"/>
        <v>0</v>
      </c>
      <c r="P45" s="60">
        <f t="shared" si="13"/>
        <v>0</v>
      </c>
      <c r="Q45" s="60">
        <f t="shared" si="14"/>
        <v>0</v>
      </c>
      <c r="R45" s="215">
        <f t="shared" si="15"/>
        <v>0</v>
      </c>
      <c r="T45" s="214">
        <f t="shared" si="28"/>
        <v>44136</v>
      </c>
      <c r="U45" s="60">
        <f t="shared" si="29"/>
        <v>0</v>
      </c>
      <c r="V45" s="60">
        <f t="shared" si="31"/>
        <v>0</v>
      </c>
      <c r="W45" s="215">
        <f t="shared" si="30"/>
        <v>0</v>
      </c>
      <c r="X45" s="376">
        <f t="shared" si="26"/>
        <v>0</v>
      </c>
      <c r="Y45" s="379">
        <f t="shared" si="16"/>
        <v>0</v>
      </c>
      <c r="Z45" s="60">
        <f t="shared" si="17"/>
        <v>0</v>
      </c>
      <c r="AA45" s="376">
        <f t="shared" si="18"/>
        <v>0</v>
      </c>
      <c r="AB45" s="656">
        <f>(Z45+AA45)*'Datos generales'!$D$16</f>
        <v>0</v>
      </c>
      <c r="AC45" s="379">
        <f t="shared" si="19"/>
        <v>0</v>
      </c>
      <c r="AD45" s="60">
        <f t="shared" si="20"/>
        <v>0</v>
      </c>
      <c r="AE45" s="376">
        <f t="shared" si="21"/>
        <v>0</v>
      </c>
      <c r="AF45" s="656">
        <f>(AD45+AE45)*'Datos generales'!$D$16</f>
        <v>0</v>
      </c>
      <c r="AG45" s="379">
        <f t="shared" si="22"/>
        <v>0</v>
      </c>
      <c r="AH45" s="60">
        <f t="shared" si="23"/>
        <v>0</v>
      </c>
      <c r="AI45" s="376">
        <f t="shared" si="24"/>
        <v>0</v>
      </c>
      <c r="AJ45" s="656">
        <f>(AH45+AI45)*'Datos generales'!$D$16</f>
        <v>0</v>
      </c>
    </row>
    <row r="46" spans="1:36" s="1" customFormat="1" hidden="1" x14ac:dyDescent="0.2">
      <c r="A46" s="599"/>
      <c r="B46" s="370">
        <f t="shared" si="27"/>
        <v>44166</v>
      </c>
      <c r="C46" s="352">
        <f t="shared" si="0"/>
        <v>0</v>
      </c>
      <c r="D46" s="352">
        <f t="shared" si="1"/>
        <v>0</v>
      </c>
      <c r="E46" s="352">
        <f t="shared" si="2"/>
        <v>0</v>
      </c>
      <c r="F46" s="371">
        <f t="shared" si="3"/>
        <v>0</v>
      </c>
      <c r="G46" s="380">
        <f t="shared" si="4"/>
        <v>0</v>
      </c>
      <c r="H46" s="380">
        <f t="shared" si="5"/>
        <v>0</v>
      </c>
      <c r="I46" s="380">
        <f t="shared" si="6"/>
        <v>0</v>
      </c>
      <c r="J46" s="380">
        <f t="shared" si="7"/>
        <v>0</v>
      </c>
      <c r="K46" s="380">
        <f t="shared" si="8"/>
        <v>0</v>
      </c>
      <c r="L46" s="380">
        <f t="shared" si="9"/>
        <v>0</v>
      </c>
      <c r="M46" s="380">
        <f t="shared" si="10"/>
        <v>0</v>
      </c>
      <c r="N46" s="380">
        <f t="shared" si="11"/>
        <v>0</v>
      </c>
      <c r="O46" s="380">
        <f t="shared" si="12"/>
        <v>0</v>
      </c>
      <c r="P46" s="380">
        <f t="shared" si="13"/>
        <v>0</v>
      </c>
      <c r="Q46" s="380">
        <f t="shared" si="14"/>
        <v>0</v>
      </c>
      <c r="R46" s="380">
        <f t="shared" si="15"/>
        <v>0</v>
      </c>
      <c r="T46" s="370">
        <f t="shared" si="28"/>
        <v>44166</v>
      </c>
      <c r="U46" s="352">
        <f t="shared" si="29"/>
        <v>0</v>
      </c>
      <c r="V46" s="352">
        <f t="shared" si="31"/>
        <v>0</v>
      </c>
      <c r="W46" s="371">
        <f t="shared" si="30"/>
        <v>0</v>
      </c>
      <c r="X46" s="377">
        <f t="shared" si="26"/>
        <v>0</v>
      </c>
      <c r="Y46" s="380">
        <f t="shared" si="16"/>
        <v>0</v>
      </c>
      <c r="Z46" s="352">
        <f t="shared" si="17"/>
        <v>0</v>
      </c>
      <c r="AA46" s="377">
        <f t="shared" si="18"/>
        <v>0</v>
      </c>
      <c r="AB46" s="371">
        <f>(Z46+AA46)*'Datos generales'!$D$16</f>
        <v>0</v>
      </c>
      <c r="AC46" s="380">
        <f t="shared" si="19"/>
        <v>0</v>
      </c>
      <c r="AD46" s="352">
        <f t="shared" si="20"/>
        <v>0</v>
      </c>
      <c r="AE46" s="377">
        <f t="shared" si="21"/>
        <v>0</v>
      </c>
      <c r="AF46" s="371">
        <f>(AD46+AE46)*'Datos generales'!$D$16</f>
        <v>0</v>
      </c>
      <c r="AG46" s="380">
        <f t="shared" si="22"/>
        <v>0</v>
      </c>
      <c r="AH46" s="352">
        <f t="shared" si="23"/>
        <v>0</v>
      </c>
      <c r="AI46" s="377">
        <f t="shared" si="24"/>
        <v>0</v>
      </c>
      <c r="AJ46" s="371">
        <f>(AH46+AI46)*'Datos generales'!$D$16</f>
        <v>0</v>
      </c>
    </row>
    <row r="47" spans="1:36" hidden="1" x14ac:dyDescent="0.2">
      <c r="B47" s="214">
        <f t="shared" si="27"/>
        <v>44197</v>
      </c>
      <c r="C47" s="60">
        <f t="shared" si="0"/>
        <v>0</v>
      </c>
      <c r="D47" s="60">
        <f t="shared" si="1"/>
        <v>0</v>
      </c>
      <c r="E47" s="60">
        <f t="shared" si="2"/>
        <v>0</v>
      </c>
      <c r="F47" s="215">
        <f t="shared" si="3"/>
        <v>0</v>
      </c>
      <c r="G47" s="60">
        <f t="shared" si="4"/>
        <v>0</v>
      </c>
      <c r="H47" s="60">
        <f t="shared" si="5"/>
        <v>0</v>
      </c>
      <c r="I47" s="60">
        <f t="shared" si="6"/>
        <v>0</v>
      </c>
      <c r="J47" s="215">
        <f t="shared" si="7"/>
        <v>0</v>
      </c>
      <c r="K47" s="60">
        <f t="shared" si="8"/>
        <v>0</v>
      </c>
      <c r="L47" s="60">
        <f t="shared" si="9"/>
        <v>0</v>
      </c>
      <c r="M47" s="60">
        <f t="shared" si="10"/>
        <v>0</v>
      </c>
      <c r="N47" s="215">
        <f t="shared" si="11"/>
        <v>0</v>
      </c>
      <c r="O47" s="60">
        <f t="shared" si="12"/>
        <v>0</v>
      </c>
      <c r="P47" s="60">
        <f t="shared" si="13"/>
        <v>0</v>
      </c>
      <c r="Q47" s="60">
        <f t="shared" si="14"/>
        <v>0</v>
      </c>
      <c r="R47" s="215">
        <f t="shared" si="15"/>
        <v>0</v>
      </c>
      <c r="T47" s="214">
        <f t="shared" si="28"/>
        <v>44197</v>
      </c>
      <c r="U47" s="60">
        <f t="shared" si="29"/>
        <v>0</v>
      </c>
      <c r="V47" s="60">
        <f t="shared" si="31"/>
        <v>0</v>
      </c>
      <c r="W47" s="215">
        <f t="shared" si="30"/>
        <v>0</v>
      </c>
      <c r="X47" s="376">
        <f t="shared" si="26"/>
        <v>0</v>
      </c>
      <c r="Y47" s="379">
        <f t="shared" si="16"/>
        <v>0</v>
      </c>
      <c r="Z47" s="60">
        <f t="shared" si="17"/>
        <v>0</v>
      </c>
      <c r="AA47" s="376">
        <f t="shared" si="18"/>
        <v>0</v>
      </c>
      <c r="AB47" s="656">
        <f>(Z47+AA47)*'Datos generales'!$D$16</f>
        <v>0</v>
      </c>
      <c r="AC47" s="379">
        <f t="shared" si="19"/>
        <v>0</v>
      </c>
      <c r="AD47" s="60">
        <f t="shared" si="20"/>
        <v>0</v>
      </c>
      <c r="AE47" s="376">
        <f t="shared" si="21"/>
        <v>0</v>
      </c>
      <c r="AF47" s="656">
        <f>(AD47+AE47)*'Datos generales'!$D$16</f>
        <v>0</v>
      </c>
      <c r="AG47" s="379">
        <f t="shared" si="22"/>
        <v>0</v>
      </c>
      <c r="AH47" s="60">
        <f t="shared" si="23"/>
        <v>0</v>
      </c>
      <c r="AI47" s="376">
        <f t="shared" si="24"/>
        <v>0</v>
      </c>
      <c r="AJ47" s="656">
        <f>(AH47+AI47)*'Datos generales'!$D$16</f>
        <v>0</v>
      </c>
    </row>
    <row r="48" spans="1:36" hidden="1" x14ac:dyDescent="0.2">
      <c r="B48" s="214">
        <f t="shared" si="27"/>
        <v>44228</v>
      </c>
      <c r="C48" s="60">
        <f t="shared" si="0"/>
        <v>0</v>
      </c>
      <c r="D48" s="60">
        <f t="shared" si="1"/>
        <v>0</v>
      </c>
      <c r="E48" s="60">
        <f t="shared" si="2"/>
        <v>0</v>
      </c>
      <c r="F48" s="215">
        <f t="shared" si="3"/>
        <v>0</v>
      </c>
      <c r="G48" s="60">
        <f t="shared" si="4"/>
        <v>0</v>
      </c>
      <c r="H48" s="60">
        <f t="shared" si="5"/>
        <v>0</v>
      </c>
      <c r="I48" s="60">
        <f t="shared" si="6"/>
        <v>0</v>
      </c>
      <c r="J48" s="215">
        <f t="shared" si="7"/>
        <v>0</v>
      </c>
      <c r="K48" s="60">
        <f t="shared" si="8"/>
        <v>0</v>
      </c>
      <c r="L48" s="60">
        <f t="shared" si="9"/>
        <v>0</v>
      </c>
      <c r="M48" s="60">
        <f t="shared" si="10"/>
        <v>0</v>
      </c>
      <c r="N48" s="215">
        <f t="shared" si="11"/>
        <v>0</v>
      </c>
      <c r="O48" s="60">
        <f t="shared" si="12"/>
        <v>0</v>
      </c>
      <c r="P48" s="60">
        <f t="shared" si="13"/>
        <v>0</v>
      </c>
      <c r="Q48" s="60">
        <f t="shared" si="14"/>
        <v>0</v>
      </c>
      <c r="R48" s="215">
        <f t="shared" si="15"/>
        <v>0</v>
      </c>
      <c r="T48" s="214">
        <f t="shared" si="28"/>
        <v>44228</v>
      </c>
      <c r="U48" s="60">
        <f t="shared" si="29"/>
        <v>0</v>
      </c>
      <c r="V48" s="60">
        <f t="shared" si="31"/>
        <v>0</v>
      </c>
      <c r="W48" s="215">
        <f t="shared" si="30"/>
        <v>0</v>
      </c>
      <c r="X48" s="376">
        <f t="shared" si="26"/>
        <v>0</v>
      </c>
      <c r="Y48" s="379">
        <f t="shared" si="16"/>
        <v>0</v>
      </c>
      <c r="Z48" s="60">
        <f t="shared" si="17"/>
        <v>0</v>
      </c>
      <c r="AA48" s="376">
        <f t="shared" si="18"/>
        <v>0</v>
      </c>
      <c r="AB48" s="656">
        <f>(Z48+AA48)*'Datos generales'!$D$16</f>
        <v>0</v>
      </c>
      <c r="AC48" s="379">
        <f t="shared" si="19"/>
        <v>0</v>
      </c>
      <c r="AD48" s="60">
        <f t="shared" si="20"/>
        <v>0</v>
      </c>
      <c r="AE48" s="376">
        <f t="shared" si="21"/>
        <v>0</v>
      </c>
      <c r="AF48" s="656">
        <f>(AD48+AE48)*'Datos generales'!$D$16</f>
        <v>0</v>
      </c>
      <c r="AG48" s="379">
        <f t="shared" si="22"/>
        <v>0</v>
      </c>
      <c r="AH48" s="60">
        <f t="shared" si="23"/>
        <v>0</v>
      </c>
      <c r="AI48" s="376">
        <f t="shared" si="24"/>
        <v>0</v>
      </c>
      <c r="AJ48" s="656">
        <f>(AH48+AI48)*'Datos generales'!$D$16</f>
        <v>0</v>
      </c>
    </row>
    <row r="49" spans="2:36" hidden="1" x14ac:dyDescent="0.2">
      <c r="B49" s="214">
        <f t="shared" si="27"/>
        <v>44256</v>
      </c>
      <c r="C49" s="60">
        <f t="shared" si="0"/>
        <v>0</v>
      </c>
      <c r="D49" s="60">
        <f t="shared" si="1"/>
        <v>0</v>
      </c>
      <c r="E49" s="60">
        <f t="shared" si="2"/>
        <v>0</v>
      </c>
      <c r="F49" s="215">
        <f t="shared" si="3"/>
        <v>0</v>
      </c>
      <c r="G49" s="60">
        <f t="shared" si="4"/>
        <v>0</v>
      </c>
      <c r="H49" s="60">
        <f t="shared" si="5"/>
        <v>0</v>
      </c>
      <c r="I49" s="60">
        <f t="shared" si="6"/>
        <v>0</v>
      </c>
      <c r="J49" s="215">
        <f t="shared" si="7"/>
        <v>0</v>
      </c>
      <c r="K49" s="60">
        <f t="shared" si="8"/>
        <v>0</v>
      </c>
      <c r="L49" s="60">
        <f t="shared" si="9"/>
        <v>0</v>
      </c>
      <c r="M49" s="60">
        <f t="shared" si="10"/>
        <v>0</v>
      </c>
      <c r="N49" s="215">
        <f t="shared" si="11"/>
        <v>0</v>
      </c>
      <c r="O49" s="60">
        <f t="shared" si="12"/>
        <v>0</v>
      </c>
      <c r="P49" s="60">
        <f t="shared" si="13"/>
        <v>0</v>
      </c>
      <c r="Q49" s="60">
        <f t="shared" si="14"/>
        <v>0</v>
      </c>
      <c r="R49" s="215">
        <f t="shared" si="15"/>
        <v>0</v>
      </c>
      <c r="T49" s="214">
        <f t="shared" si="28"/>
        <v>44256</v>
      </c>
      <c r="U49" s="60">
        <f t="shared" si="29"/>
        <v>0</v>
      </c>
      <c r="V49" s="60">
        <f t="shared" si="31"/>
        <v>0</v>
      </c>
      <c r="W49" s="215">
        <f t="shared" si="30"/>
        <v>0</v>
      </c>
      <c r="X49" s="376">
        <f t="shared" si="26"/>
        <v>0</v>
      </c>
      <c r="Y49" s="379">
        <f t="shared" si="16"/>
        <v>0</v>
      </c>
      <c r="Z49" s="60">
        <f t="shared" si="17"/>
        <v>0</v>
      </c>
      <c r="AA49" s="376">
        <f t="shared" si="18"/>
        <v>0</v>
      </c>
      <c r="AB49" s="656">
        <f>(Z49+AA49)*'Datos generales'!$D$16</f>
        <v>0</v>
      </c>
      <c r="AC49" s="379">
        <f t="shared" si="19"/>
        <v>0</v>
      </c>
      <c r="AD49" s="60">
        <f t="shared" si="20"/>
        <v>0</v>
      </c>
      <c r="AE49" s="376">
        <f t="shared" si="21"/>
        <v>0</v>
      </c>
      <c r="AF49" s="656">
        <f>(AD49+AE49)*'Datos generales'!$D$16</f>
        <v>0</v>
      </c>
      <c r="AG49" s="379">
        <f t="shared" si="22"/>
        <v>0</v>
      </c>
      <c r="AH49" s="60">
        <f t="shared" si="23"/>
        <v>0</v>
      </c>
      <c r="AI49" s="376">
        <f t="shared" si="24"/>
        <v>0</v>
      </c>
      <c r="AJ49" s="656">
        <f>(AH49+AI49)*'Datos generales'!$D$16</f>
        <v>0</v>
      </c>
    </row>
    <row r="50" spans="2:36" hidden="1" x14ac:dyDescent="0.2">
      <c r="B50" s="214">
        <f t="shared" si="27"/>
        <v>44287</v>
      </c>
      <c r="C50" s="60">
        <f t="shared" si="0"/>
        <v>0</v>
      </c>
      <c r="D50" s="60">
        <f t="shared" si="1"/>
        <v>0</v>
      </c>
      <c r="E50" s="60">
        <f t="shared" si="2"/>
        <v>0</v>
      </c>
      <c r="F50" s="215">
        <f t="shared" si="3"/>
        <v>0</v>
      </c>
      <c r="G50" s="60">
        <f t="shared" si="4"/>
        <v>0</v>
      </c>
      <c r="H50" s="60">
        <f t="shared" si="5"/>
        <v>0</v>
      </c>
      <c r="I50" s="60">
        <f t="shared" si="6"/>
        <v>0</v>
      </c>
      <c r="J50" s="215">
        <f t="shared" si="7"/>
        <v>0</v>
      </c>
      <c r="K50" s="60">
        <f t="shared" si="8"/>
        <v>0</v>
      </c>
      <c r="L50" s="60">
        <f t="shared" si="9"/>
        <v>0</v>
      </c>
      <c r="M50" s="60">
        <f t="shared" si="10"/>
        <v>0</v>
      </c>
      <c r="N50" s="215">
        <f t="shared" si="11"/>
        <v>0</v>
      </c>
      <c r="O50" s="60">
        <f t="shared" si="12"/>
        <v>0</v>
      </c>
      <c r="P50" s="60">
        <f t="shared" si="13"/>
        <v>0</v>
      </c>
      <c r="Q50" s="60">
        <f t="shared" si="14"/>
        <v>0</v>
      </c>
      <c r="R50" s="215">
        <f t="shared" si="15"/>
        <v>0</v>
      </c>
      <c r="T50" s="214">
        <f t="shared" si="28"/>
        <v>44287</v>
      </c>
      <c r="U50" s="60">
        <f t="shared" si="29"/>
        <v>0</v>
      </c>
      <c r="V50" s="60">
        <f t="shared" si="31"/>
        <v>0</v>
      </c>
      <c r="W50" s="215">
        <f t="shared" si="30"/>
        <v>0</v>
      </c>
      <c r="X50" s="376">
        <f t="shared" si="26"/>
        <v>0</v>
      </c>
      <c r="Y50" s="379">
        <f t="shared" si="16"/>
        <v>0</v>
      </c>
      <c r="Z50" s="60">
        <f t="shared" si="17"/>
        <v>0</v>
      </c>
      <c r="AA50" s="376">
        <f t="shared" si="18"/>
        <v>0</v>
      </c>
      <c r="AB50" s="656">
        <f>(Z50+AA50)*'Datos generales'!$D$16</f>
        <v>0</v>
      </c>
      <c r="AC50" s="379">
        <f t="shared" si="19"/>
        <v>0</v>
      </c>
      <c r="AD50" s="60">
        <f t="shared" si="20"/>
        <v>0</v>
      </c>
      <c r="AE50" s="376">
        <f t="shared" si="21"/>
        <v>0</v>
      </c>
      <c r="AF50" s="656">
        <f>(AD50+AE50)*'Datos generales'!$D$16</f>
        <v>0</v>
      </c>
      <c r="AG50" s="379">
        <f t="shared" si="22"/>
        <v>0</v>
      </c>
      <c r="AH50" s="60">
        <f t="shared" si="23"/>
        <v>0</v>
      </c>
      <c r="AI50" s="376">
        <f t="shared" si="24"/>
        <v>0</v>
      </c>
      <c r="AJ50" s="656">
        <f>(AH50+AI50)*'Datos generales'!$D$16</f>
        <v>0</v>
      </c>
    </row>
    <row r="51" spans="2:36" hidden="1" x14ac:dyDescent="0.2">
      <c r="B51" s="214">
        <f t="shared" si="27"/>
        <v>44317</v>
      </c>
      <c r="C51" s="60">
        <f t="shared" si="0"/>
        <v>0</v>
      </c>
      <c r="D51" s="60">
        <f t="shared" si="1"/>
        <v>0</v>
      </c>
      <c r="E51" s="60">
        <f t="shared" si="2"/>
        <v>0</v>
      </c>
      <c r="F51" s="215">
        <f t="shared" si="3"/>
        <v>0</v>
      </c>
      <c r="G51" s="60">
        <f t="shared" si="4"/>
        <v>0</v>
      </c>
      <c r="H51" s="60">
        <f t="shared" si="5"/>
        <v>0</v>
      </c>
      <c r="I51" s="60">
        <f t="shared" si="6"/>
        <v>0</v>
      </c>
      <c r="J51" s="215">
        <f t="shared" si="7"/>
        <v>0</v>
      </c>
      <c r="K51" s="60">
        <f t="shared" si="8"/>
        <v>0</v>
      </c>
      <c r="L51" s="60">
        <f t="shared" si="9"/>
        <v>0</v>
      </c>
      <c r="M51" s="60">
        <f t="shared" si="10"/>
        <v>0</v>
      </c>
      <c r="N51" s="215">
        <f t="shared" si="11"/>
        <v>0</v>
      </c>
      <c r="O51" s="60">
        <f t="shared" si="12"/>
        <v>0</v>
      </c>
      <c r="P51" s="60">
        <f t="shared" si="13"/>
        <v>0</v>
      </c>
      <c r="Q51" s="60">
        <f t="shared" si="14"/>
        <v>0</v>
      </c>
      <c r="R51" s="215">
        <f t="shared" si="15"/>
        <v>0</v>
      </c>
      <c r="T51" s="214">
        <f t="shared" si="28"/>
        <v>44317</v>
      </c>
      <c r="U51" s="60">
        <f t="shared" si="29"/>
        <v>0</v>
      </c>
      <c r="V51" s="60">
        <f t="shared" si="31"/>
        <v>0</v>
      </c>
      <c r="W51" s="215">
        <f t="shared" si="30"/>
        <v>0</v>
      </c>
      <c r="X51" s="376">
        <f t="shared" si="26"/>
        <v>0</v>
      </c>
      <c r="Y51" s="379">
        <f t="shared" si="16"/>
        <v>0</v>
      </c>
      <c r="Z51" s="60">
        <f t="shared" si="17"/>
        <v>0</v>
      </c>
      <c r="AA51" s="376">
        <f t="shared" si="18"/>
        <v>0</v>
      </c>
      <c r="AB51" s="656">
        <f>(Z51+AA51)*'Datos generales'!$D$16</f>
        <v>0</v>
      </c>
      <c r="AC51" s="379">
        <f t="shared" si="19"/>
        <v>0</v>
      </c>
      <c r="AD51" s="60">
        <f t="shared" si="20"/>
        <v>0</v>
      </c>
      <c r="AE51" s="376">
        <f t="shared" si="21"/>
        <v>0</v>
      </c>
      <c r="AF51" s="656">
        <f>(AD51+AE51)*'Datos generales'!$D$16</f>
        <v>0</v>
      </c>
      <c r="AG51" s="379">
        <f t="shared" si="22"/>
        <v>0</v>
      </c>
      <c r="AH51" s="60">
        <f t="shared" si="23"/>
        <v>0</v>
      </c>
      <c r="AI51" s="376">
        <f t="shared" si="24"/>
        <v>0</v>
      </c>
      <c r="AJ51" s="656">
        <f>(AH51+AI51)*'Datos generales'!$D$16</f>
        <v>0</v>
      </c>
    </row>
    <row r="52" spans="2:36" hidden="1" x14ac:dyDescent="0.2">
      <c r="B52" s="214">
        <f t="shared" si="27"/>
        <v>44348</v>
      </c>
      <c r="C52" s="60">
        <f t="shared" si="0"/>
        <v>0</v>
      </c>
      <c r="D52" s="60">
        <f t="shared" si="1"/>
        <v>0</v>
      </c>
      <c r="E52" s="60">
        <f t="shared" si="2"/>
        <v>0</v>
      </c>
      <c r="F52" s="215">
        <f t="shared" si="3"/>
        <v>0</v>
      </c>
      <c r="G52" s="60">
        <f t="shared" si="4"/>
        <v>0</v>
      </c>
      <c r="H52" s="60">
        <f t="shared" si="5"/>
        <v>0</v>
      </c>
      <c r="I52" s="60">
        <f t="shared" si="6"/>
        <v>0</v>
      </c>
      <c r="J52" s="215">
        <f t="shared" si="7"/>
        <v>0</v>
      </c>
      <c r="K52" s="60">
        <f t="shared" si="8"/>
        <v>0</v>
      </c>
      <c r="L52" s="60">
        <f t="shared" si="9"/>
        <v>0</v>
      </c>
      <c r="M52" s="60">
        <f t="shared" si="10"/>
        <v>0</v>
      </c>
      <c r="N52" s="215">
        <f t="shared" si="11"/>
        <v>0</v>
      </c>
      <c r="O52" s="60">
        <f t="shared" si="12"/>
        <v>0</v>
      </c>
      <c r="P52" s="60">
        <f t="shared" si="13"/>
        <v>0</v>
      </c>
      <c r="Q52" s="60">
        <f t="shared" si="14"/>
        <v>0</v>
      </c>
      <c r="R52" s="215">
        <f t="shared" si="15"/>
        <v>0</v>
      </c>
      <c r="T52" s="214">
        <f t="shared" si="28"/>
        <v>44348</v>
      </c>
      <c r="U52" s="60">
        <f t="shared" si="29"/>
        <v>0</v>
      </c>
      <c r="V52" s="60">
        <f t="shared" si="31"/>
        <v>0</v>
      </c>
      <c r="W52" s="215">
        <f t="shared" si="30"/>
        <v>0</v>
      </c>
      <c r="X52" s="376">
        <f t="shared" si="26"/>
        <v>0</v>
      </c>
      <c r="Y52" s="379">
        <f t="shared" si="16"/>
        <v>0</v>
      </c>
      <c r="Z52" s="60">
        <f t="shared" si="17"/>
        <v>0</v>
      </c>
      <c r="AA52" s="376">
        <f t="shared" si="18"/>
        <v>0</v>
      </c>
      <c r="AB52" s="656">
        <f>(Z52+AA52)*'Datos generales'!$D$16</f>
        <v>0</v>
      </c>
      <c r="AC52" s="379">
        <f t="shared" si="19"/>
        <v>0</v>
      </c>
      <c r="AD52" s="60">
        <f t="shared" si="20"/>
        <v>0</v>
      </c>
      <c r="AE52" s="376">
        <f t="shared" si="21"/>
        <v>0</v>
      </c>
      <c r="AF52" s="656">
        <f>(AD52+AE52)*'Datos generales'!$D$16</f>
        <v>0</v>
      </c>
      <c r="AG52" s="379">
        <f t="shared" si="22"/>
        <v>0</v>
      </c>
      <c r="AH52" s="60">
        <f t="shared" si="23"/>
        <v>0</v>
      </c>
      <c r="AI52" s="376">
        <f t="shared" si="24"/>
        <v>0</v>
      </c>
      <c r="AJ52" s="656">
        <f>(AH52+AI52)*'Datos generales'!$D$16</f>
        <v>0</v>
      </c>
    </row>
    <row r="53" spans="2:36" hidden="1" x14ac:dyDescent="0.2">
      <c r="B53" s="214">
        <f t="shared" si="27"/>
        <v>44378</v>
      </c>
      <c r="C53" s="60">
        <f t="shared" si="0"/>
        <v>0</v>
      </c>
      <c r="D53" s="60">
        <f t="shared" si="1"/>
        <v>0</v>
      </c>
      <c r="E53" s="60">
        <f t="shared" si="2"/>
        <v>0</v>
      </c>
      <c r="F53" s="215">
        <f t="shared" si="3"/>
        <v>0</v>
      </c>
      <c r="G53" s="60">
        <f t="shared" si="4"/>
        <v>0</v>
      </c>
      <c r="H53" s="60">
        <f t="shared" si="5"/>
        <v>0</v>
      </c>
      <c r="I53" s="60">
        <f t="shared" si="6"/>
        <v>0</v>
      </c>
      <c r="J53" s="215">
        <f t="shared" si="7"/>
        <v>0</v>
      </c>
      <c r="K53" s="60">
        <f t="shared" si="8"/>
        <v>0</v>
      </c>
      <c r="L53" s="60">
        <f t="shared" si="9"/>
        <v>0</v>
      </c>
      <c r="M53" s="60">
        <f t="shared" si="10"/>
        <v>0</v>
      </c>
      <c r="N53" s="215">
        <f t="shared" si="11"/>
        <v>0</v>
      </c>
      <c r="O53" s="60">
        <f t="shared" si="12"/>
        <v>0</v>
      </c>
      <c r="P53" s="60">
        <f t="shared" si="13"/>
        <v>0</v>
      </c>
      <c r="Q53" s="60">
        <f t="shared" si="14"/>
        <v>0</v>
      </c>
      <c r="R53" s="215">
        <f t="shared" si="15"/>
        <v>0</v>
      </c>
      <c r="T53" s="214">
        <f t="shared" si="28"/>
        <v>44378</v>
      </c>
      <c r="U53" s="60">
        <f t="shared" si="29"/>
        <v>0</v>
      </c>
      <c r="V53" s="60">
        <f t="shared" si="31"/>
        <v>0</v>
      </c>
      <c r="W53" s="215">
        <f t="shared" si="30"/>
        <v>0</v>
      </c>
      <c r="X53" s="376">
        <f t="shared" si="26"/>
        <v>0</v>
      </c>
      <c r="Y53" s="379">
        <f t="shared" si="16"/>
        <v>0</v>
      </c>
      <c r="Z53" s="60">
        <f t="shared" si="17"/>
        <v>0</v>
      </c>
      <c r="AA53" s="376">
        <f t="shared" si="18"/>
        <v>0</v>
      </c>
      <c r="AB53" s="656">
        <f>(Z53+AA53)*'Datos generales'!$D$16</f>
        <v>0</v>
      </c>
      <c r="AC53" s="379">
        <f t="shared" si="19"/>
        <v>0</v>
      </c>
      <c r="AD53" s="60">
        <f t="shared" si="20"/>
        <v>0</v>
      </c>
      <c r="AE53" s="376">
        <f t="shared" si="21"/>
        <v>0</v>
      </c>
      <c r="AF53" s="656">
        <f>(AD53+AE53)*'Datos generales'!$D$16</f>
        <v>0</v>
      </c>
      <c r="AG53" s="379">
        <f t="shared" si="22"/>
        <v>0</v>
      </c>
      <c r="AH53" s="60">
        <f t="shared" si="23"/>
        <v>0</v>
      </c>
      <c r="AI53" s="376">
        <f t="shared" si="24"/>
        <v>0</v>
      </c>
      <c r="AJ53" s="656">
        <f>(AH53+AI53)*'Datos generales'!$D$16</f>
        <v>0</v>
      </c>
    </row>
    <row r="54" spans="2:36" hidden="1" x14ac:dyDescent="0.2">
      <c r="B54" s="214">
        <f t="shared" si="27"/>
        <v>44409</v>
      </c>
      <c r="C54" s="60">
        <f t="shared" si="0"/>
        <v>0</v>
      </c>
      <c r="D54" s="60">
        <f t="shared" si="1"/>
        <v>0</v>
      </c>
      <c r="E54" s="60">
        <f t="shared" si="2"/>
        <v>0</v>
      </c>
      <c r="F54" s="215">
        <f t="shared" si="3"/>
        <v>0</v>
      </c>
      <c r="G54" s="60">
        <f t="shared" si="4"/>
        <v>0</v>
      </c>
      <c r="H54" s="60">
        <f t="shared" si="5"/>
        <v>0</v>
      </c>
      <c r="I54" s="60">
        <f t="shared" si="6"/>
        <v>0</v>
      </c>
      <c r="J54" s="215">
        <f t="shared" si="7"/>
        <v>0</v>
      </c>
      <c r="K54" s="60">
        <f t="shared" si="8"/>
        <v>0</v>
      </c>
      <c r="L54" s="60">
        <f t="shared" si="9"/>
        <v>0</v>
      </c>
      <c r="M54" s="60">
        <f t="shared" si="10"/>
        <v>0</v>
      </c>
      <c r="N54" s="215">
        <f t="shared" si="11"/>
        <v>0</v>
      </c>
      <c r="O54" s="60">
        <f t="shared" si="12"/>
        <v>0</v>
      </c>
      <c r="P54" s="60">
        <f t="shared" si="13"/>
        <v>0</v>
      </c>
      <c r="Q54" s="60">
        <f t="shared" si="14"/>
        <v>0</v>
      </c>
      <c r="R54" s="215">
        <f t="shared" si="15"/>
        <v>0</v>
      </c>
      <c r="T54" s="214">
        <f t="shared" si="28"/>
        <v>44409</v>
      </c>
      <c r="U54" s="60">
        <f t="shared" si="29"/>
        <v>0</v>
      </c>
      <c r="V54" s="60">
        <f t="shared" si="31"/>
        <v>0</v>
      </c>
      <c r="W54" s="215">
        <f t="shared" si="30"/>
        <v>0</v>
      </c>
      <c r="X54" s="376">
        <f t="shared" si="26"/>
        <v>0</v>
      </c>
      <c r="Y54" s="379">
        <f t="shared" si="16"/>
        <v>0</v>
      </c>
      <c r="Z54" s="60">
        <f t="shared" si="17"/>
        <v>0</v>
      </c>
      <c r="AA54" s="376">
        <f t="shared" si="18"/>
        <v>0</v>
      </c>
      <c r="AB54" s="656">
        <f>(Z54+AA54)*'Datos generales'!$D$16</f>
        <v>0</v>
      </c>
      <c r="AC54" s="379">
        <f t="shared" si="19"/>
        <v>0</v>
      </c>
      <c r="AD54" s="60">
        <f t="shared" si="20"/>
        <v>0</v>
      </c>
      <c r="AE54" s="376">
        <f t="shared" si="21"/>
        <v>0</v>
      </c>
      <c r="AF54" s="656">
        <f>(AD54+AE54)*'Datos generales'!$D$16</f>
        <v>0</v>
      </c>
      <c r="AG54" s="379">
        <f t="shared" si="22"/>
        <v>0</v>
      </c>
      <c r="AH54" s="60">
        <f t="shared" si="23"/>
        <v>0</v>
      </c>
      <c r="AI54" s="376">
        <f t="shared" si="24"/>
        <v>0</v>
      </c>
      <c r="AJ54" s="656">
        <f>(AH54+AI54)*'Datos generales'!$D$16</f>
        <v>0</v>
      </c>
    </row>
    <row r="55" spans="2:36" hidden="1" x14ac:dyDescent="0.2">
      <c r="B55" s="214">
        <f t="shared" si="27"/>
        <v>44440</v>
      </c>
      <c r="C55" s="60">
        <f t="shared" si="0"/>
        <v>0</v>
      </c>
      <c r="D55" s="60">
        <f t="shared" si="1"/>
        <v>0</v>
      </c>
      <c r="E55" s="60">
        <f t="shared" si="2"/>
        <v>0</v>
      </c>
      <c r="F55" s="215">
        <f t="shared" si="3"/>
        <v>0</v>
      </c>
      <c r="G55" s="60">
        <f t="shared" si="4"/>
        <v>0</v>
      </c>
      <c r="H55" s="60">
        <f t="shared" si="5"/>
        <v>0</v>
      </c>
      <c r="I55" s="60">
        <f t="shared" si="6"/>
        <v>0</v>
      </c>
      <c r="J55" s="215">
        <f t="shared" si="7"/>
        <v>0</v>
      </c>
      <c r="K55" s="60">
        <f t="shared" si="8"/>
        <v>0</v>
      </c>
      <c r="L55" s="60">
        <f t="shared" si="9"/>
        <v>0</v>
      </c>
      <c r="M55" s="60">
        <f t="shared" si="10"/>
        <v>0</v>
      </c>
      <c r="N55" s="215">
        <f t="shared" si="11"/>
        <v>0</v>
      </c>
      <c r="O55" s="60">
        <f t="shared" si="12"/>
        <v>0</v>
      </c>
      <c r="P55" s="60">
        <f t="shared" si="13"/>
        <v>0</v>
      </c>
      <c r="Q55" s="60">
        <f t="shared" si="14"/>
        <v>0</v>
      </c>
      <c r="R55" s="215">
        <f t="shared" si="15"/>
        <v>0</v>
      </c>
      <c r="T55" s="214">
        <f t="shared" si="28"/>
        <v>44440</v>
      </c>
      <c r="U55" s="60">
        <f t="shared" si="29"/>
        <v>0</v>
      </c>
      <c r="V55" s="60">
        <f t="shared" si="31"/>
        <v>0</v>
      </c>
      <c r="W55" s="215">
        <f t="shared" si="30"/>
        <v>0</v>
      </c>
      <c r="X55" s="376">
        <f t="shared" si="26"/>
        <v>0</v>
      </c>
      <c r="Y55" s="379">
        <f t="shared" si="16"/>
        <v>0</v>
      </c>
      <c r="Z55" s="60">
        <f t="shared" si="17"/>
        <v>0</v>
      </c>
      <c r="AA55" s="376">
        <f t="shared" si="18"/>
        <v>0</v>
      </c>
      <c r="AB55" s="656">
        <f>(Z55+AA55)*'Datos generales'!$D$16</f>
        <v>0</v>
      </c>
      <c r="AC55" s="379">
        <f t="shared" si="19"/>
        <v>0</v>
      </c>
      <c r="AD55" s="60">
        <f t="shared" si="20"/>
        <v>0</v>
      </c>
      <c r="AE55" s="376">
        <f t="shared" si="21"/>
        <v>0</v>
      </c>
      <c r="AF55" s="656">
        <f>(AD55+AE55)*'Datos generales'!$D$16</f>
        <v>0</v>
      </c>
      <c r="AG55" s="379">
        <f t="shared" si="22"/>
        <v>0</v>
      </c>
      <c r="AH55" s="60">
        <f t="shared" si="23"/>
        <v>0</v>
      </c>
      <c r="AI55" s="376">
        <f t="shared" si="24"/>
        <v>0</v>
      </c>
      <c r="AJ55" s="656">
        <f>(AH55+AI55)*'Datos generales'!$D$16</f>
        <v>0</v>
      </c>
    </row>
    <row r="56" spans="2:36" hidden="1" x14ac:dyDescent="0.2">
      <c r="B56" s="214">
        <f t="shared" si="27"/>
        <v>44470</v>
      </c>
      <c r="C56" s="60">
        <f t="shared" si="0"/>
        <v>0</v>
      </c>
      <c r="D56" s="60">
        <f t="shared" si="1"/>
        <v>0</v>
      </c>
      <c r="E56" s="60">
        <f t="shared" si="2"/>
        <v>0</v>
      </c>
      <c r="F56" s="215">
        <f t="shared" si="3"/>
        <v>0</v>
      </c>
      <c r="G56" s="60">
        <f t="shared" si="4"/>
        <v>0</v>
      </c>
      <c r="H56" s="60">
        <f t="shared" si="5"/>
        <v>0</v>
      </c>
      <c r="I56" s="60">
        <f t="shared" si="6"/>
        <v>0</v>
      </c>
      <c r="J56" s="215">
        <f t="shared" si="7"/>
        <v>0</v>
      </c>
      <c r="K56" s="60">
        <f t="shared" si="8"/>
        <v>0</v>
      </c>
      <c r="L56" s="60">
        <f t="shared" si="9"/>
        <v>0</v>
      </c>
      <c r="M56" s="60">
        <f t="shared" si="10"/>
        <v>0</v>
      </c>
      <c r="N56" s="215">
        <f t="shared" si="11"/>
        <v>0</v>
      </c>
      <c r="O56" s="60">
        <f t="shared" si="12"/>
        <v>0</v>
      </c>
      <c r="P56" s="60">
        <f t="shared" si="13"/>
        <v>0</v>
      </c>
      <c r="Q56" s="60">
        <f t="shared" si="14"/>
        <v>0</v>
      </c>
      <c r="R56" s="215">
        <f t="shared" si="15"/>
        <v>0</v>
      </c>
      <c r="T56" s="214">
        <f t="shared" si="28"/>
        <v>44470</v>
      </c>
      <c r="U56" s="60">
        <f t="shared" si="29"/>
        <v>0</v>
      </c>
      <c r="V56" s="60">
        <f t="shared" si="31"/>
        <v>0</v>
      </c>
      <c r="W56" s="215">
        <f t="shared" si="30"/>
        <v>0</v>
      </c>
      <c r="X56" s="376">
        <f t="shared" si="26"/>
        <v>0</v>
      </c>
      <c r="Y56" s="379">
        <f t="shared" si="16"/>
        <v>0</v>
      </c>
      <c r="Z56" s="60">
        <f t="shared" si="17"/>
        <v>0</v>
      </c>
      <c r="AA56" s="376">
        <f t="shared" si="18"/>
        <v>0</v>
      </c>
      <c r="AB56" s="656">
        <f>(Z56+AA56)*'Datos generales'!$D$16</f>
        <v>0</v>
      </c>
      <c r="AC56" s="379">
        <f t="shared" si="19"/>
        <v>0</v>
      </c>
      <c r="AD56" s="60">
        <f t="shared" si="20"/>
        <v>0</v>
      </c>
      <c r="AE56" s="376">
        <f t="shared" si="21"/>
        <v>0</v>
      </c>
      <c r="AF56" s="656">
        <f>(AD56+AE56)*'Datos generales'!$D$16</f>
        <v>0</v>
      </c>
      <c r="AG56" s="379">
        <f t="shared" si="22"/>
        <v>0</v>
      </c>
      <c r="AH56" s="60">
        <f t="shared" si="23"/>
        <v>0</v>
      </c>
      <c r="AI56" s="376">
        <f t="shared" si="24"/>
        <v>0</v>
      </c>
      <c r="AJ56" s="656">
        <f>(AH56+AI56)*'Datos generales'!$D$16</f>
        <v>0</v>
      </c>
    </row>
    <row r="57" spans="2:36" hidden="1" x14ac:dyDescent="0.2">
      <c r="B57" s="214">
        <f t="shared" si="27"/>
        <v>44501</v>
      </c>
      <c r="C57" s="60">
        <f t="shared" si="0"/>
        <v>0</v>
      </c>
      <c r="D57" s="60">
        <f t="shared" si="1"/>
        <v>0</v>
      </c>
      <c r="E57" s="60">
        <f t="shared" si="2"/>
        <v>0</v>
      </c>
      <c r="F57" s="215">
        <f t="shared" si="3"/>
        <v>0</v>
      </c>
      <c r="G57" s="60">
        <f t="shared" si="4"/>
        <v>0</v>
      </c>
      <c r="H57" s="60">
        <f t="shared" si="5"/>
        <v>0</v>
      </c>
      <c r="I57" s="60">
        <f t="shared" si="6"/>
        <v>0</v>
      </c>
      <c r="J57" s="215">
        <f t="shared" si="7"/>
        <v>0</v>
      </c>
      <c r="K57" s="60">
        <f t="shared" si="8"/>
        <v>0</v>
      </c>
      <c r="L57" s="60">
        <f t="shared" si="9"/>
        <v>0</v>
      </c>
      <c r="M57" s="60">
        <f t="shared" si="10"/>
        <v>0</v>
      </c>
      <c r="N57" s="215">
        <f t="shared" si="11"/>
        <v>0</v>
      </c>
      <c r="O57" s="60">
        <f t="shared" si="12"/>
        <v>0</v>
      </c>
      <c r="P57" s="60">
        <f t="shared" si="13"/>
        <v>0</v>
      </c>
      <c r="Q57" s="60">
        <f t="shared" si="14"/>
        <v>0</v>
      </c>
      <c r="R57" s="215">
        <f t="shared" si="15"/>
        <v>0</v>
      </c>
      <c r="T57" s="214">
        <f t="shared" si="28"/>
        <v>44501</v>
      </c>
      <c r="U57" s="60">
        <f t="shared" si="29"/>
        <v>0</v>
      </c>
      <c r="V57" s="60">
        <f t="shared" si="31"/>
        <v>0</v>
      </c>
      <c r="W57" s="215">
        <f t="shared" si="30"/>
        <v>0</v>
      </c>
      <c r="X57" s="376">
        <f t="shared" si="26"/>
        <v>0</v>
      </c>
      <c r="Y57" s="379">
        <f t="shared" si="16"/>
        <v>0</v>
      </c>
      <c r="Z57" s="60">
        <f t="shared" si="17"/>
        <v>0</v>
      </c>
      <c r="AA57" s="376">
        <f t="shared" si="18"/>
        <v>0</v>
      </c>
      <c r="AB57" s="656">
        <f>(Z57+AA57)*'Datos generales'!$D$16</f>
        <v>0</v>
      </c>
      <c r="AC57" s="379">
        <f t="shared" si="19"/>
        <v>0</v>
      </c>
      <c r="AD57" s="60">
        <f t="shared" si="20"/>
        <v>0</v>
      </c>
      <c r="AE57" s="376">
        <f t="shared" si="21"/>
        <v>0</v>
      </c>
      <c r="AF57" s="656">
        <f>(AD57+AE57)*'Datos generales'!$D$16</f>
        <v>0</v>
      </c>
      <c r="AG57" s="379">
        <f t="shared" si="22"/>
        <v>0</v>
      </c>
      <c r="AH57" s="60">
        <f t="shared" si="23"/>
        <v>0</v>
      </c>
      <c r="AI57" s="376">
        <f t="shared" si="24"/>
        <v>0</v>
      </c>
      <c r="AJ57" s="656">
        <f>(AH57+AI57)*'Datos generales'!$D$16</f>
        <v>0</v>
      </c>
    </row>
    <row r="58" spans="2:36" s="1" customFormat="1" hidden="1" x14ac:dyDescent="0.2">
      <c r="B58" s="370">
        <f t="shared" si="27"/>
        <v>44531</v>
      </c>
      <c r="C58" s="352">
        <f t="shared" si="0"/>
        <v>0</v>
      </c>
      <c r="D58" s="352">
        <f t="shared" si="1"/>
        <v>0</v>
      </c>
      <c r="E58" s="352">
        <f t="shared" si="2"/>
        <v>0</v>
      </c>
      <c r="F58" s="371">
        <f t="shared" si="3"/>
        <v>0</v>
      </c>
      <c r="G58" s="380">
        <f t="shared" si="4"/>
        <v>0</v>
      </c>
      <c r="H58" s="380">
        <f t="shared" si="5"/>
        <v>0</v>
      </c>
      <c r="I58" s="380">
        <f t="shared" si="6"/>
        <v>0</v>
      </c>
      <c r="J58" s="380">
        <f t="shared" si="7"/>
        <v>0</v>
      </c>
      <c r="K58" s="380">
        <f t="shared" si="8"/>
        <v>0</v>
      </c>
      <c r="L58" s="380">
        <f t="shared" si="9"/>
        <v>0</v>
      </c>
      <c r="M58" s="380">
        <f t="shared" si="10"/>
        <v>0</v>
      </c>
      <c r="N58" s="380">
        <f t="shared" si="11"/>
        <v>0</v>
      </c>
      <c r="O58" s="380">
        <f t="shared" si="12"/>
        <v>0</v>
      </c>
      <c r="P58" s="380">
        <f t="shared" si="13"/>
        <v>0</v>
      </c>
      <c r="Q58" s="380">
        <f t="shared" si="14"/>
        <v>0</v>
      </c>
      <c r="R58" s="380">
        <f t="shared" si="15"/>
        <v>0</v>
      </c>
      <c r="T58" s="370">
        <f t="shared" si="28"/>
        <v>44531</v>
      </c>
      <c r="U58" s="352">
        <f t="shared" si="29"/>
        <v>0</v>
      </c>
      <c r="V58" s="352">
        <f t="shared" si="31"/>
        <v>0</v>
      </c>
      <c r="W58" s="371">
        <f t="shared" si="30"/>
        <v>0</v>
      </c>
      <c r="X58" s="377">
        <f t="shared" si="26"/>
        <v>0</v>
      </c>
      <c r="Y58" s="380">
        <f t="shared" si="16"/>
        <v>0</v>
      </c>
      <c r="Z58" s="352">
        <f t="shared" si="17"/>
        <v>0</v>
      </c>
      <c r="AA58" s="377">
        <f t="shared" si="18"/>
        <v>0</v>
      </c>
      <c r="AB58" s="371">
        <f>(Z58+AA58)*'Datos generales'!$D$16</f>
        <v>0</v>
      </c>
      <c r="AC58" s="380">
        <f t="shared" si="19"/>
        <v>0</v>
      </c>
      <c r="AD58" s="352">
        <f t="shared" si="20"/>
        <v>0</v>
      </c>
      <c r="AE58" s="377">
        <f t="shared" si="21"/>
        <v>0</v>
      </c>
      <c r="AF58" s="371">
        <f>(AD58+AE58)*'Datos generales'!$D$16</f>
        <v>0</v>
      </c>
      <c r="AG58" s="380">
        <f t="shared" si="22"/>
        <v>0</v>
      </c>
      <c r="AH58" s="352">
        <f t="shared" si="23"/>
        <v>0</v>
      </c>
      <c r="AI58" s="377">
        <f t="shared" si="24"/>
        <v>0</v>
      </c>
      <c r="AJ58" s="371">
        <f>(AH58+AI58)*'Datos generales'!$D$16</f>
        <v>0</v>
      </c>
    </row>
    <row r="59" spans="2:36" hidden="1" x14ac:dyDescent="0.2">
      <c r="B59" s="214">
        <f t="shared" si="27"/>
        <v>44562</v>
      </c>
      <c r="C59" s="60">
        <f t="shared" si="0"/>
        <v>0</v>
      </c>
      <c r="D59" s="60">
        <f t="shared" si="1"/>
        <v>0</v>
      </c>
      <c r="E59" s="60">
        <f t="shared" si="2"/>
        <v>0</v>
      </c>
      <c r="F59" s="215">
        <f t="shared" si="3"/>
        <v>0</v>
      </c>
      <c r="G59" s="60">
        <f t="shared" si="4"/>
        <v>0</v>
      </c>
      <c r="H59" s="60">
        <f t="shared" si="5"/>
        <v>0</v>
      </c>
      <c r="I59" s="60">
        <f t="shared" si="6"/>
        <v>0</v>
      </c>
      <c r="J59" s="215">
        <f t="shared" si="7"/>
        <v>0</v>
      </c>
      <c r="K59" s="60">
        <f t="shared" si="8"/>
        <v>0</v>
      </c>
      <c r="L59" s="60">
        <f t="shared" si="9"/>
        <v>0</v>
      </c>
      <c r="M59" s="60">
        <f t="shared" si="10"/>
        <v>0</v>
      </c>
      <c r="N59" s="215">
        <f t="shared" si="11"/>
        <v>0</v>
      </c>
      <c r="O59" s="60">
        <f t="shared" si="12"/>
        <v>0</v>
      </c>
      <c r="P59" s="60">
        <f t="shared" si="13"/>
        <v>0</v>
      </c>
      <c r="Q59" s="60">
        <f t="shared" si="14"/>
        <v>0</v>
      </c>
      <c r="R59" s="215">
        <f t="shared" si="15"/>
        <v>0</v>
      </c>
      <c r="T59" s="214">
        <f t="shared" si="28"/>
        <v>44562</v>
      </c>
      <c r="U59" s="60">
        <f t="shared" si="29"/>
        <v>0</v>
      </c>
      <c r="V59" s="60">
        <f t="shared" si="31"/>
        <v>0</v>
      </c>
      <c r="W59" s="215">
        <f t="shared" si="30"/>
        <v>0</v>
      </c>
      <c r="X59" s="376">
        <f t="shared" si="26"/>
        <v>0</v>
      </c>
      <c r="Y59" s="379">
        <f t="shared" si="16"/>
        <v>0</v>
      </c>
      <c r="Z59" s="60">
        <f t="shared" si="17"/>
        <v>0</v>
      </c>
      <c r="AA59" s="376">
        <f t="shared" si="18"/>
        <v>0</v>
      </c>
      <c r="AB59" s="656">
        <f>(Z59+AA59)*'Datos generales'!$D$16</f>
        <v>0</v>
      </c>
      <c r="AC59" s="379">
        <f t="shared" si="19"/>
        <v>0</v>
      </c>
      <c r="AD59" s="60">
        <f t="shared" si="20"/>
        <v>0</v>
      </c>
      <c r="AE59" s="376">
        <f t="shared" si="21"/>
        <v>0</v>
      </c>
      <c r="AF59" s="656">
        <f>(AD59+AE59)*'Datos generales'!$D$16</f>
        <v>0</v>
      </c>
      <c r="AG59" s="379">
        <f t="shared" si="22"/>
        <v>0</v>
      </c>
      <c r="AH59" s="60">
        <f t="shared" si="23"/>
        <v>0</v>
      </c>
      <c r="AI59" s="376">
        <f t="shared" si="24"/>
        <v>0</v>
      </c>
      <c r="AJ59" s="656">
        <f>(AH59+AI59)*'Datos generales'!$D$16</f>
        <v>0</v>
      </c>
    </row>
    <row r="60" spans="2:36" hidden="1" x14ac:dyDescent="0.2">
      <c r="B60" s="214">
        <f t="shared" si="27"/>
        <v>44593</v>
      </c>
      <c r="C60" s="60">
        <f t="shared" si="0"/>
        <v>0</v>
      </c>
      <c r="D60" s="60">
        <f t="shared" si="1"/>
        <v>0</v>
      </c>
      <c r="E60" s="60">
        <f t="shared" si="2"/>
        <v>0</v>
      </c>
      <c r="F60" s="215">
        <f t="shared" si="3"/>
        <v>0</v>
      </c>
      <c r="G60" s="60">
        <f t="shared" si="4"/>
        <v>0</v>
      </c>
      <c r="H60" s="60">
        <f t="shared" si="5"/>
        <v>0</v>
      </c>
      <c r="I60" s="60">
        <f t="shared" si="6"/>
        <v>0</v>
      </c>
      <c r="J60" s="215">
        <f t="shared" si="7"/>
        <v>0</v>
      </c>
      <c r="K60" s="60">
        <f t="shared" si="8"/>
        <v>0</v>
      </c>
      <c r="L60" s="60">
        <f t="shared" si="9"/>
        <v>0</v>
      </c>
      <c r="M60" s="60">
        <f t="shared" si="10"/>
        <v>0</v>
      </c>
      <c r="N60" s="215">
        <f t="shared" si="11"/>
        <v>0</v>
      </c>
      <c r="O60" s="60">
        <f t="shared" si="12"/>
        <v>0</v>
      </c>
      <c r="P60" s="60">
        <f t="shared" si="13"/>
        <v>0</v>
      </c>
      <c r="Q60" s="60">
        <f t="shared" si="14"/>
        <v>0</v>
      </c>
      <c r="R60" s="215">
        <f t="shared" si="15"/>
        <v>0</v>
      </c>
      <c r="T60" s="214">
        <f t="shared" si="28"/>
        <v>44593</v>
      </c>
      <c r="U60" s="60">
        <f t="shared" si="29"/>
        <v>0</v>
      </c>
      <c r="V60" s="60">
        <f t="shared" si="31"/>
        <v>0</v>
      </c>
      <c r="W60" s="215">
        <f t="shared" si="30"/>
        <v>0</v>
      </c>
      <c r="X60" s="376">
        <f t="shared" si="26"/>
        <v>0</v>
      </c>
      <c r="Y60" s="379">
        <f t="shared" si="16"/>
        <v>0</v>
      </c>
      <c r="Z60" s="60">
        <f t="shared" si="17"/>
        <v>0</v>
      </c>
      <c r="AA60" s="376">
        <f t="shared" si="18"/>
        <v>0</v>
      </c>
      <c r="AB60" s="656">
        <f>(Z60+AA60)*'Datos generales'!$D$16</f>
        <v>0</v>
      </c>
      <c r="AC60" s="379">
        <f t="shared" si="19"/>
        <v>0</v>
      </c>
      <c r="AD60" s="60">
        <f t="shared" si="20"/>
        <v>0</v>
      </c>
      <c r="AE60" s="376">
        <f t="shared" si="21"/>
        <v>0</v>
      </c>
      <c r="AF60" s="656">
        <f>(AD60+AE60)*'Datos generales'!$D$16</f>
        <v>0</v>
      </c>
      <c r="AG60" s="379">
        <f t="shared" si="22"/>
        <v>0</v>
      </c>
      <c r="AH60" s="60">
        <f t="shared" si="23"/>
        <v>0</v>
      </c>
      <c r="AI60" s="376">
        <f t="shared" si="24"/>
        <v>0</v>
      </c>
      <c r="AJ60" s="656">
        <f>(AH60+AI60)*'Datos generales'!$D$16</f>
        <v>0</v>
      </c>
    </row>
    <row r="61" spans="2:36" hidden="1" x14ac:dyDescent="0.2">
      <c r="B61" s="214">
        <f t="shared" si="27"/>
        <v>44621</v>
      </c>
      <c r="C61" s="60">
        <f t="shared" si="0"/>
        <v>0</v>
      </c>
      <c r="D61" s="60">
        <f t="shared" si="1"/>
        <v>0</v>
      </c>
      <c r="E61" s="60">
        <f t="shared" si="2"/>
        <v>0</v>
      </c>
      <c r="F61" s="215">
        <f t="shared" si="3"/>
        <v>0</v>
      </c>
      <c r="G61" s="60">
        <f t="shared" si="4"/>
        <v>0</v>
      </c>
      <c r="H61" s="60">
        <f t="shared" si="5"/>
        <v>0</v>
      </c>
      <c r="I61" s="60">
        <f t="shared" si="6"/>
        <v>0</v>
      </c>
      <c r="J61" s="215">
        <f t="shared" si="7"/>
        <v>0</v>
      </c>
      <c r="K61" s="60">
        <f t="shared" si="8"/>
        <v>0</v>
      </c>
      <c r="L61" s="60">
        <f t="shared" si="9"/>
        <v>0</v>
      </c>
      <c r="M61" s="60">
        <f t="shared" si="10"/>
        <v>0</v>
      </c>
      <c r="N61" s="215">
        <f t="shared" si="11"/>
        <v>0</v>
      </c>
      <c r="O61" s="60">
        <f t="shared" si="12"/>
        <v>0</v>
      </c>
      <c r="P61" s="60">
        <f t="shared" si="13"/>
        <v>0</v>
      </c>
      <c r="Q61" s="60">
        <f t="shared" si="14"/>
        <v>0</v>
      </c>
      <c r="R61" s="215">
        <f t="shared" si="15"/>
        <v>0</v>
      </c>
      <c r="T61" s="214">
        <f t="shared" si="28"/>
        <v>44621</v>
      </c>
      <c r="U61" s="60">
        <f t="shared" si="29"/>
        <v>0</v>
      </c>
      <c r="V61" s="60">
        <f t="shared" si="31"/>
        <v>0</v>
      </c>
      <c r="W61" s="215">
        <f t="shared" si="30"/>
        <v>0</v>
      </c>
      <c r="X61" s="376">
        <f t="shared" si="26"/>
        <v>0</v>
      </c>
      <c r="Y61" s="379">
        <f t="shared" si="16"/>
        <v>0</v>
      </c>
      <c r="Z61" s="60">
        <f t="shared" si="17"/>
        <v>0</v>
      </c>
      <c r="AA61" s="376">
        <f t="shared" si="18"/>
        <v>0</v>
      </c>
      <c r="AB61" s="656">
        <f>(Z61+AA61)*'Datos generales'!$D$16</f>
        <v>0</v>
      </c>
      <c r="AC61" s="379">
        <f t="shared" si="19"/>
        <v>0</v>
      </c>
      <c r="AD61" s="60">
        <f t="shared" si="20"/>
        <v>0</v>
      </c>
      <c r="AE61" s="376">
        <f t="shared" si="21"/>
        <v>0</v>
      </c>
      <c r="AF61" s="656">
        <f>(AD61+AE61)*'Datos generales'!$D$16</f>
        <v>0</v>
      </c>
      <c r="AG61" s="379">
        <f t="shared" si="22"/>
        <v>0</v>
      </c>
      <c r="AH61" s="60">
        <f t="shared" si="23"/>
        <v>0</v>
      </c>
      <c r="AI61" s="376">
        <f t="shared" si="24"/>
        <v>0</v>
      </c>
      <c r="AJ61" s="656">
        <f>(AH61+AI61)*'Datos generales'!$D$16</f>
        <v>0</v>
      </c>
    </row>
    <row r="62" spans="2:36" hidden="1" x14ac:dyDescent="0.2">
      <c r="B62" s="214">
        <f t="shared" si="27"/>
        <v>44652</v>
      </c>
      <c r="C62" s="60">
        <f t="shared" si="0"/>
        <v>0</v>
      </c>
      <c r="D62" s="60">
        <f t="shared" si="1"/>
        <v>0</v>
      </c>
      <c r="E62" s="60">
        <f t="shared" si="2"/>
        <v>0</v>
      </c>
      <c r="F62" s="215">
        <f t="shared" si="3"/>
        <v>0</v>
      </c>
      <c r="G62" s="60">
        <f t="shared" si="4"/>
        <v>0</v>
      </c>
      <c r="H62" s="60">
        <f t="shared" si="5"/>
        <v>0</v>
      </c>
      <c r="I62" s="60">
        <f t="shared" si="6"/>
        <v>0</v>
      </c>
      <c r="J62" s="215">
        <f t="shared" si="7"/>
        <v>0</v>
      </c>
      <c r="K62" s="60">
        <f t="shared" si="8"/>
        <v>0</v>
      </c>
      <c r="L62" s="60">
        <f t="shared" si="9"/>
        <v>0</v>
      </c>
      <c r="M62" s="60">
        <f t="shared" si="10"/>
        <v>0</v>
      </c>
      <c r="N62" s="215">
        <f t="shared" si="11"/>
        <v>0</v>
      </c>
      <c r="O62" s="60">
        <f t="shared" si="12"/>
        <v>0</v>
      </c>
      <c r="P62" s="60">
        <f t="shared" si="13"/>
        <v>0</v>
      </c>
      <c r="Q62" s="60">
        <f t="shared" si="14"/>
        <v>0</v>
      </c>
      <c r="R62" s="215">
        <f t="shared" si="15"/>
        <v>0</v>
      </c>
      <c r="T62" s="214">
        <f t="shared" si="28"/>
        <v>44652</v>
      </c>
      <c r="U62" s="60">
        <f t="shared" si="29"/>
        <v>0</v>
      </c>
      <c r="V62" s="60">
        <f t="shared" si="31"/>
        <v>0</v>
      </c>
      <c r="W62" s="215">
        <f t="shared" si="30"/>
        <v>0</v>
      </c>
      <c r="X62" s="376">
        <f t="shared" si="26"/>
        <v>0</v>
      </c>
      <c r="Y62" s="379">
        <f t="shared" si="16"/>
        <v>0</v>
      </c>
      <c r="Z62" s="60">
        <f t="shared" si="17"/>
        <v>0</v>
      </c>
      <c r="AA62" s="376">
        <f t="shared" si="18"/>
        <v>0</v>
      </c>
      <c r="AB62" s="656">
        <f>(Z62+AA62)*'Datos generales'!$D$16</f>
        <v>0</v>
      </c>
      <c r="AC62" s="379">
        <f t="shared" si="19"/>
        <v>0</v>
      </c>
      <c r="AD62" s="60">
        <f t="shared" si="20"/>
        <v>0</v>
      </c>
      <c r="AE62" s="376">
        <f t="shared" si="21"/>
        <v>0</v>
      </c>
      <c r="AF62" s="656">
        <f>(AD62+AE62)*'Datos generales'!$D$16</f>
        <v>0</v>
      </c>
      <c r="AG62" s="379">
        <f t="shared" si="22"/>
        <v>0</v>
      </c>
      <c r="AH62" s="60">
        <f t="shared" si="23"/>
        <v>0</v>
      </c>
      <c r="AI62" s="376">
        <f t="shared" si="24"/>
        <v>0</v>
      </c>
      <c r="AJ62" s="656">
        <f>(AH62+AI62)*'Datos generales'!$D$16</f>
        <v>0</v>
      </c>
    </row>
    <row r="63" spans="2:36" hidden="1" x14ac:dyDescent="0.2">
      <c r="B63" s="214">
        <f t="shared" si="27"/>
        <v>44682</v>
      </c>
      <c r="C63" s="60">
        <f t="shared" si="0"/>
        <v>0</v>
      </c>
      <c r="D63" s="60">
        <f t="shared" si="1"/>
        <v>0</v>
      </c>
      <c r="E63" s="60">
        <f t="shared" si="2"/>
        <v>0</v>
      </c>
      <c r="F63" s="215">
        <f t="shared" si="3"/>
        <v>0</v>
      </c>
      <c r="G63" s="60">
        <f t="shared" si="4"/>
        <v>0</v>
      </c>
      <c r="H63" s="60">
        <f t="shared" si="5"/>
        <v>0</v>
      </c>
      <c r="I63" s="60">
        <f t="shared" si="6"/>
        <v>0</v>
      </c>
      <c r="J63" s="215">
        <f t="shared" si="7"/>
        <v>0</v>
      </c>
      <c r="K63" s="60">
        <f t="shared" si="8"/>
        <v>0</v>
      </c>
      <c r="L63" s="60">
        <f t="shared" si="9"/>
        <v>0</v>
      </c>
      <c r="M63" s="60">
        <f t="shared" si="10"/>
        <v>0</v>
      </c>
      <c r="N63" s="215">
        <f t="shared" si="11"/>
        <v>0</v>
      </c>
      <c r="O63" s="60">
        <f t="shared" si="12"/>
        <v>0</v>
      </c>
      <c r="P63" s="60">
        <f t="shared" si="13"/>
        <v>0</v>
      </c>
      <c r="Q63" s="60">
        <f t="shared" si="14"/>
        <v>0</v>
      </c>
      <c r="R63" s="215">
        <f t="shared" si="15"/>
        <v>0</v>
      </c>
      <c r="T63" s="214">
        <f t="shared" si="28"/>
        <v>44682</v>
      </c>
      <c r="U63" s="60">
        <f t="shared" si="29"/>
        <v>0</v>
      </c>
      <c r="V63" s="60">
        <f t="shared" si="31"/>
        <v>0</v>
      </c>
      <c r="W63" s="215">
        <f t="shared" si="30"/>
        <v>0</v>
      </c>
      <c r="X63" s="376">
        <f t="shared" si="26"/>
        <v>0</v>
      </c>
      <c r="Y63" s="379">
        <f t="shared" si="16"/>
        <v>0</v>
      </c>
      <c r="Z63" s="60">
        <f t="shared" si="17"/>
        <v>0</v>
      </c>
      <c r="AA63" s="376">
        <f t="shared" si="18"/>
        <v>0</v>
      </c>
      <c r="AB63" s="656">
        <f>(Z63+AA63)*'Datos generales'!$D$16</f>
        <v>0</v>
      </c>
      <c r="AC63" s="379">
        <f t="shared" si="19"/>
        <v>0</v>
      </c>
      <c r="AD63" s="60">
        <f t="shared" si="20"/>
        <v>0</v>
      </c>
      <c r="AE63" s="376">
        <f t="shared" si="21"/>
        <v>0</v>
      </c>
      <c r="AF63" s="656">
        <f>(AD63+AE63)*'Datos generales'!$D$16</f>
        <v>0</v>
      </c>
      <c r="AG63" s="379">
        <f t="shared" si="22"/>
        <v>0</v>
      </c>
      <c r="AH63" s="60">
        <f t="shared" si="23"/>
        <v>0</v>
      </c>
      <c r="AI63" s="376">
        <f t="shared" si="24"/>
        <v>0</v>
      </c>
      <c r="AJ63" s="656">
        <f>(AH63+AI63)*'Datos generales'!$D$16</f>
        <v>0</v>
      </c>
    </row>
    <row r="64" spans="2:36" hidden="1" x14ac:dyDescent="0.2">
      <c r="B64" s="214">
        <f t="shared" si="27"/>
        <v>44713</v>
      </c>
      <c r="C64" s="60">
        <f t="shared" si="0"/>
        <v>0</v>
      </c>
      <c r="D64" s="60">
        <f t="shared" si="1"/>
        <v>0</v>
      </c>
      <c r="E64" s="60">
        <f t="shared" si="2"/>
        <v>0</v>
      </c>
      <c r="F64" s="215">
        <f t="shared" si="3"/>
        <v>0</v>
      </c>
      <c r="G64" s="60">
        <f t="shared" si="4"/>
        <v>0</v>
      </c>
      <c r="H64" s="60">
        <f t="shared" si="5"/>
        <v>0</v>
      </c>
      <c r="I64" s="60">
        <f t="shared" si="6"/>
        <v>0</v>
      </c>
      <c r="J64" s="215">
        <f t="shared" si="7"/>
        <v>0</v>
      </c>
      <c r="K64" s="60">
        <f t="shared" si="8"/>
        <v>0</v>
      </c>
      <c r="L64" s="60">
        <f t="shared" si="9"/>
        <v>0</v>
      </c>
      <c r="M64" s="60">
        <f t="shared" si="10"/>
        <v>0</v>
      </c>
      <c r="N64" s="215">
        <f t="shared" si="11"/>
        <v>0</v>
      </c>
      <c r="O64" s="60">
        <f t="shared" si="12"/>
        <v>0</v>
      </c>
      <c r="P64" s="60">
        <f t="shared" si="13"/>
        <v>0</v>
      </c>
      <c r="Q64" s="60">
        <f t="shared" si="14"/>
        <v>0</v>
      </c>
      <c r="R64" s="215">
        <f t="shared" si="15"/>
        <v>0</v>
      </c>
      <c r="T64" s="214">
        <f t="shared" si="28"/>
        <v>44713</v>
      </c>
      <c r="U64" s="60">
        <f t="shared" si="29"/>
        <v>0</v>
      </c>
      <c r="V64" s="60">
        <f t="shared" si="31"/>
        <v>0</v>
      </c>
      <c r="W64" s="215">
        <f t="shared" si="30"/>
        <v>0</v>
      </c>
      <c r="X64" s="376">
        <f t="shared" si="26"/>
        <v>0</v>
      </c>
      <c r="Y64" s="379">
        <f t="shared" si="16"/>
        <v>0</v>
      </c>
      <c r="Z64" s="60">
        <f t="shared" si="17"/>
        <v>0</v>
      </c>
      <c r="AA64" s="376">
        <f t="shared" si="18"/>
        <v>0</v>
      </c>
      <c r="AB64" s="656">
        <f>(Z64+AA64)*'Datos generales'!$D$16</f>
        <v>0</v>
      </c>
      <c r="AC64" s="379">
        <f t="shared" si="19"/>
        <v>0</v>
      </c>
      <c r="AD64" s="60">
        <f t="shared" si="20"/>
        <v>0</v>
      </c>
      <c r="AE64" s="376">
        <f t="shared" si="21"/>
        <v>0</v>
      </c>
      <c r="AF64" s="656">
        <f>(AD64+AE64)*'Datos generales'!$D$16</f>
        <v>0</v>
      </c>
      <c r="AG64" s="379">
        <f t="shared" si="22"/>
        <v>0</v>
      </c>
      <c r="AH64" s="60">
        <f t="shared" si="23"/>
        <v>0</v>
      </c>
      <c r="AI64" s="376">
        <f t="shared" si="24"/>
        <v>0</v>
      </c>
      <c r="AJ64" s="656">
        <f>(AH64+AI64)*'Datos generales'!$D$16</f>
        <v>0</v>
      </c>
    </row>
    <row r="65" spans="2:36" hidden="1" x14ac:dyDescent="0.2">
      <c r="B65" s="214">
        <f t="shared" si="27"/>
        <v>44743</v>
      </c>
      <c r="C65" s="60">
        <f t="shared" si="0"/>
        <v>0</v>
      </c>
      <c r="D65" s="60">
        <f t="shared" si="1"/>
        <v>0</v>
      </c>
      <c r="E65" s="60">
        <f t="shared" si="2"/>
        <v>0</v>
      </c>
      <c r="F65" s="215">
        <f t="shared" si="3"/>
        <v>0</v>
      </c>
      <c r="G65" s="60">
        <f t="shared" si="4"/>
        <v>0</v>
      </c>
      <c r="H65" s="60">
        <f t="shared" si="5"/>
        <v>0</v>
      </c>
      <c r="I65" s="60">
        <f t="shared" si="6"/>
        <v>0</v>
      </c>
      <c r="J65" s="215">
        <f t="shared" si="7"/>
        <v>0</v>
      </c>
      <c r="K65" s="60">
        <f t="shared" si="8"/>
        <v>0</v>
      </c>
      <c r="L65" s="60">
        <f t="shared" si="9"/>
        <v>0</v>
      </c>
      <c r="M65" s="60">
        <f t="shared" si="10"/>
        <v>0</v>
      </c>
      <c r="N65" s="215">
        <f t="shared" si="11"/>
        <v>0</v>
      </c>
      <c r="O65" s="60">
        <f t="shared" si="12"/>
        <v>0</v>
      </c>
      <c r="P65" s="60">
        <f t="shared" si="13"/>
        <v>0</v>
      </c>
      <c r="Q65" s="60">
        <f t="shared" si="14"/>
        <v>0</v>
      </c>
      <c r="R65" s="215">
        <f t="shared" si="15"/>
        <v>0</v>
      </c>
      <c r="T65" s="214">
        <f t="shared" si="28"/>
        <v>44743</v>
      </c>
      <c r="U65" s="60">
        <f t="shared" si="29"/>
        <v>0</v>
      </c>
      <c r="V65" s="60">
        <f t="shared" si="31"/>
        <v>0</v>
      </c>
      <c r="W65" s="215">
        <f t="shared" si="30"/>
        <v>0</v>
      </c>
      <c r="X65" s="376">
        <f t="shared" si="26"/>
        <v>0</v>
      </c>
      <c r="Y65" s="379">
        <f t="shared" si="16"/>
        <v>0</v>
      </c>
      <c r="Z65" s="60">
        <f t="shared" si="17"/>
        <v>0</v>
      </c>
      <c r="AA65" s="376">
        <f t="shared" si="18"/>
        <v>0</v>
      </c>
      <c r="AB65" s="656">
        <f>(Z65+AA65)*'Datos generales'!$D$16</f>
        <v>0</v>
      </c>
      <c r="AC65" s="379">
        <f t="shared" si="19"/>
        <v>0</v>
      </c>
      <c r="AD65" s="60">
        <f t="shared" si="20"/>
        <v>0</v>
      </c>
      <c r="AE65" s="376">
        <f t="shared" si="21"/>
        <v>0</v>
      </c>
      <c r="AF65" s="656">
        <f>(AD65+AE65)*'Datos generales'!$D$16</f>
        <v>0</v>
      </c>
      <c r="AG65" s="379">
        <f t="shared" si="22"/>
        <v>0</v>
      </c>
      <c r="AH65" s="60">
        <f t="shared" si="23"/>
        <v>0</v>
      </c>
      <c r="AI65" s="376">
        <f t="shared" si="24"/>
        <v>0</v>
      </c>
      <c r="AJ65" s="656">
        <f>(AH65+AI65)*'Datos generales'!$D$16</f>
        <v>0</v>
      </c>
    </row>
    <row r="66" spans="2:36" hidden="1" x14ac:dyDescent="0.2">
      <c r="B66" s="214">
        <f t="shared" si="27"/>
        <v>44774</v>
      </c>
      <c r="C66" s="60">
        <f t="shared" ref="C66:C82" si="32">G66+K66+O66</f>
        <v>0</v>
      </c>
      <c r="D66" s="60">
        <f t="shared" ref="D66:D82" si="33">H66+L66+P66</f>
        <v>0</v>
      </c>
      <c r="E66" s="60">
        <f t="shared" si="2"/>
        <v>0</v>
      </c>
      <c r="F66" s="215">
        <f t="shared" si="3"/>
        <v>0</v>
      </c>
      <c r="G66" s="60">
        <f t="shared" si="4"/>
        <v>0</v>
      </c>
      <c r="H66" s="60">
        <f t="shared" si="5"/>
        <v>0</v>
      </c>
      <c r="I66" s="60">
        <f t="shared" si="6"/>
        <v>0</v>
      </c>
      <c r="J66" s="215">
        <f t="shared" si="7"/>
        <v>0</v>
      </c>
      <c r="K66" s="60">
        <f t="shared" si="8"/>
        <v>0</v>
      </c>
      <c r="L66" s="60">
        <f t="shared" si="9"/>
        <v>0</v>
      </c>
      <c r="M66" s="60">
        <f t="shared" si="10"/>
        <v>0</v>
      </c>
      <c r="N66" s="215">
        <f t="shared" si="11"/>
        <v>0</v>
      </c>
      <c r="O66" s="60">
        <f t="shared" si="12"/>
        <v>0</v>
      </c>
      <c r="P66" s="60">
        <f t="shared" si="13"/>
        <v>0</v>
      </c>
      <c r="Q66" s="60">
        <f t="shared" si="14"/>
        <v>0</v>
      </c>
      <c r="R66" s="215">
        <f t="shared" si="15"/>
        <v>0</v>
      </c>
      <c r="T66" s="214">
        <f t="shared" si="28"/>
        <v>44774</v>
      </c>
      <c r="U66" s="60">
        <f t="shared" si="29"/>
        <v>0</v>
      </c>
      <c r="V66" s="60">
        <f t="shared" si="31"/>
        <v>0</v>
      </c>
      <c r="W66" s="215">
        <f t="shared" si="30"/>
        <v>0</v>
      </c>
      <c r="X66" s="376">
        <f t="shared" si="26"/>
        <v>0</v>
      </c>
      <c r="Y66" s="379">
        <f t="shared" si="16"/>
        <v>0</v>
      </c>
      <c r="Z66" s="60">
        <f t="shared" si="17"/>
        <v>0</v>
      </c>
      <c r="AA66" s="376">
        <f t="shared" si="18"/>
        <v>0</v>
      </c>
      <c r="AB66" s="656">
        <f>(Z66+AA66)*'Datos generales'!$D$16</f>
        <v>0</v>
      </c>
      <c r="AC66" s="379">
        <f t="shared" si="19"/>
        <v>0</v>
      </c>
      <c r="AD66" s="60">
        <f t="shared" si="20"/>
        <v>0</v>
      </c>
      <c r="AE66" s="376">
        <f t="shared" si="21"/>
        <v>0</v>
      </c>
      <c r="AF66" s="656">
        <f>(AD66+AE66)*'Datos generales'!$D$16</f>
        <v>0</v>
      </c>
      <c r="AG66" s="379">
        <f t="shared" si="22"/>
        <v>0</v>
      </c>
      <c r="AH66" s="60">
        <f t="shared" si="23"/>
        <v>0</v>
      </c>
      <c r="AI66" s="376">
        <f t="shared" si="24"/>
        <v>0</v>
      </c>
      <c r="AJ66" s="656">
        <f>(AH66+AI66)*'Datos generales'!$D$16</f>
        <v>0</v>
      </c>
    </row>
    <row r="67" spans="2:36" hidden="1" x14ac:dyDescent="0.2">
      <c r="B67" s="214">
        <f t="shared" si="27"/>
        <v>44805</v>
      </c>
      <c r="C67" s="60">
        <f t="shared" si="32"/>
        <v>0</v>
      </c>
      <c r="D67" s="60">
        <f t="shared" si="33"/>
        <v>0</v>
      </c>
      <c r="E67" s="60">
        <f t="shared" si="2"/>
        <v>0</v>
      </c>
      <c r="F67" s="215">
        <f t="shared" si="3"/>
        <v>0</v>
      </c>
      <c r="G67" s="60">
        <f t="shared" si="4"/>
        <v>0</v>
      </c>
      <c r="H67" s="60">
        <f t="shared" si="5"/>
        <v>0</v>
      </c>
      <c r="I67" s="60">
        <f t="shared" si="6"/>
        <v>0</v>
      </c>
      <c r="J67" s="215">
        <f t="shared" si="7"/>
        <v>0</v>
      </c>
      <c r="K67" s="60">
        <f t="shared" si="8"/>
        <v>0</v>
      </c>
      <c r="L67" s="60">
        <f t="shared" si="9"/>
        <v>0</v>
      </c>
      <c r="M67" s="60">
        <f t="shared" si="10"/>
        <v>0</v>
      </c>
      <c r="N67" s="215">
        <f t="shared" si="11"/>
        <v>0</v>
      </c>
      <c r="O67" s="60">
        <f t="shared" si="12"/>
        <v>0</v>
      </c>
      <c r="P67" s="60">
        <f t="shared" si="13"/>
        <v>0</v>
      </c>
      <c r="Q67" s="60">
        <f t="shared" si="14"/>
        <v>0</v>
      </c>
      <c r="R67" s="215">
        <f t="shared" si="15"/>
        <v>0</v>
      </c>
      <c r="T67" s="214">
        <f t="shared" si="28"/>
        <v>44805</v>
      </c>
      <c r="U67" s="60">
        <f t="shared" si="29"/>
        <v>0</v>
      </c>
      <c r="V67" s="60">
        <f t="shared" si="31"/>
        <v>0</v>
      </c>
      <c r="W67" s="215">
        <f t="shared" si="30"/>
        <v>0</v>
      </c>
      <c r="X67" s="376">
        <f t="shared" si="26"/>
        <v>0</v>
      </c>
      <c r="Y67" s="379">
        <f t="shared" si="16"/>
        <v>0</v>
      </c>
      <c r="Z67" s="60">
        <f t="shared" si="17"/>
        <v>0</v>
      </c>
      <c r="AA67" s="376">
        <f t="shared" si="18"/>
        <v>0</v>
      </c>
      <c r="AB67" s="656">
        <f>(Z67+AA67)*'Datos generales'!$D$16</f>
        <v>0</v>
      </c>
      <c r="AC67" s="379">
        <f t="shared" si="19"/>
        <v>0</v>
      </c>
      <c r="AD67" s="60">
        <f t="shared" si="20"/>
        <v>0</v>
      </c>
      <c r="AE67" s="376">
        <f t="shared" si="21"/>
        <v>0</v>
      </c>
      <c r="AF67" s="656">
        <f>(AD67+AE67)*'Datos generales'!$D$16</f>
        <v>0</v>
      </c>
      <c r="AG67" s="379">
        <f t="shared" si="22"/>
        <v>0</v>
      </c>
      <c r="AH67" s="60">
        <f t="shared" si="23"/>
        <v>0</v>
      </c>
      <c r="AI67" s="376">
        <f t="shared" si="24"/>
        <v>0</v>
      </c>
      <c r="AJ67" s="656">
        <f>(AH67+AI67)*'Datos generales'!$D$16</f>
        <v>0</v>
      </c>
    </row>
    <row r="68" spans="2:36" hidden="1" x14ac:dyDescent="0.2">
      <c r="B68" s="214">
        <f t="shared" si="27"/>
        <v>44835</v>
      </c>
      <c r="C68" s="60">
        <f t="shared" si="32"/>
        <v>0</v>
      </c>
      <c r="D68" s="60">
        <f t="shared" si="33"/>
        <v>0</v>
      </c>
      <c r="E68" s="60">
        <f t="shared" si="2"/>
        <v>0</v>
      </c>
      <c r="F68" s="215">
        <f t="shared" si="3"/>
        <v>0</v>
      </c>
      <c r="G68" s="60">
        <f t="shared" si="4"/>
        <v>0</v>
      </c>
      <c r="H68" s="60">
        <f t="shared" si="5"/>
        <v>0</v>
      </c>
      <c r="I68" s="60">
        <f t="shared" si="6"/>
        <v>0</v>
      </c>
      <c r="J68" s="215">
        <f t="shared" si="7"/>
        <v>0</v>
      </c>
      <c r="K68" s="60">
        <f t="shared" si="8"/>
        <v>0</v>
      </c>
      <c r="L68" s="60">
        <f t="shared" si="9"/>
        <v>0</v>
      </c>
      <c r="M68" s="60">
        <f t="shared" si="10"/>
        <v>0</v>
      </c>
      <c r="N68" s="215">
        <f t="shared" si="11"/>
        <v>0</v>
      </c>
      <c r="O68" s="60">
        <f t="shared" si="12"/>
        <v>0</v>
      </c>
      <c r="P68" s="60">
        <f t="shared" si="13"/>
        <v>0</v>
      </c>
      <c r="Q68" s="60">
        <f t="shared" si="14"/>
        <v>0</v>
      </c>
      <c r="R68" s="215">
        <f t="shared" si="15"/>
        <v>0</v>
      </c>
      <c r="T68" s="214">
        <f t="shared" si="28"/>
        <v>44835</v>
      </c>
      <c r="U68" s="60">
        <f t="shared" si="29"/>
        <v>0</v>
      </c>
      <c r="V68" s="60">
        <f t="shared" si="31"/>
        <v>0</v>
      </c>
      <c r="W68" s="215">
        <f t="shared" si="30"/>
        <v>0</v>
      </c>
      <c r="X68" s="376">
        <f t="shared" si="26"/>
        <v>0</v>
      </c>
      <c r="Y68" s="379">
        <f t="shared" si="16"/>
        <v>0</v>
      </c>
      <c r="Z68" s="60">
        <f t="shared" si="17"/>
        <v>0</v>
      </c>
      <c r="AA68" s="376">
        <f t="shared" si="18"/>
        <v>0</v>
      </c>
      <c r="AB68" s="656">
        <f>(Z68+AA68)*'Datos generales'!$D$16</f>
        <v>0</v>
      </c>
      <c r="AC68" s="379">
        <f t="shared" si="19"/>
        <v>0</v>
      </c>
      <c r="AD68" s="60">
        <f t="shared" si="20"/>
        <v>0</v>
      </c>
      <c r="AE68" s="376">
        <f t="shared" si="21"/>
        <v>0</v>
      </c>
      <c r="AF68" s="656">
        <f>(AD68+AE68)*'Datos generales'!$D$16</f>
        <v>0</v>
      </c>
      <c r="AG68" s="379">
        <f t="shared" si="22"/>
        <v>0</v>
      </c>
      <c r="AH68" s="60">
        <f t="shared" si="23"/>
        <v>0</v>
      </c>
      <c r="AI68" s="376">
        <f t="shared" si="24"/>
        <v>0</v>
      </c>
      <c r="AJ68" s="656">
        <f>(AH68+AI68)*'Datos generales'!$D$16</f>
        <v>0</v>
      </c>
    </row>
    <row r="69" spans="2:36" hidden="1" x14ac:dyDescent="0.2">
      <c r="B69" s="214">
        <f t="shared" si="27"/>
        <v>44866</v>
      </c>
      <c r="C69" s="60">
        <f t="shared" si="32"/>
        <v>0</v>
      </c>
      <c r="D69" s="60">
        <f t="shared" si="33"/>
        <v>0</v>
      </c>
      <c r="E69" s="60">
        <f t="shared" si="2"/>
        <v>0</v>
      </c>
      <c r="F69" s="215">
        <f t="shared" si="3"/>
        <v>0</v>
      </c>
      <c r="G69" s="60">
        <f t="shared" si="4"/>
        <v>0</v>
      </c>
      <c r="H69" s="60">
        <f t="shared" si="5"/>
        <v>0</v>
      </c>
      <c r="I69" s="60">
        <f t="shared" si="6"/>
        <v>0</v>
      </c>
      <c r="J69" s="215">
        <f t="shared" si="7"/>
        <v>0</v>
      </c>
      <c r="K69" s="60">
        <f t="shared" si="8"/>
        <v>0</v>
      </c>
      <c r="L69" s="60">
        <f t="shared" si="9"/>
        <v>0</v>
      </c>
      <c r="M69" s="60">
        <f t="shared" si="10"/>
        <v>0</v>
      </c>
      <c r="N69" s="215">
        <f t="shared" si="11"/>
        <v>0</v>
      </c>
      <c r="O69" s="60">
        <f t="shared" si="12"/>
        <v>0</v>
      </c>
      <c r="P69" s="60">
        <f t="shared" si="13"/>
        <v>0</v>
      </c>
      <c r="Q69" s="60">
        <f t="shared" si="14"/>
        <v>0</v>
      </c>
      <c r="R69" s="215">
        <f t="shared" si="15"/>
        <v>0</v>
      </c>
      <c r="T69" s="214">
        <f t="shared" si="28"/>
        <v>44866</v>
      </c>
      <c r="U69" s="60">
        <f t="shared" si="29"/>
        <v>0</v>
      </c>
      <c r="V69" s="60">
        <f t="shared" si="31"/>
        <v>0</v>
      </c>
      <c r="W69" s="215">
        <f t="shared" si="30"/>
        <v>0</v>
      </c>
      <c r="X69" s="376">
        <f t="shared" si="26"/>
        <v>0</v>
      </c>
      <c r="Y69" s="379">
        <f t="shared" si="16"/>
        <v>0</v>
      </c>
      <c r="Z69" s="60">
        <f t="shared" si="17"/>
        <v>0</v>
      </c>
      <c r="AA69" s="376">
        <f t="shared" si="18"/>
        <v>0</v>
      </c>
      <c r="AB69" s="656">
        <f>(Z69+AA69)*'Datos generales'!$D$16</f>
        <v>0</v>
      </c>
      <c r="AC69" s="379">
        <f t="shared" si="19"/>
        <v>0</v>
      </c>
      <c r="AD69" s="60">
        <f t="shared" si="20"/>
        <v>0</v>
      </c>
      <c r="AE69" s="376">
        <f t="shared" si="21"/>
        <v>0</v>
      </c>
      <c r="AF69" s="656">
        <f>(AD69+AE69)*'Datos generales'!$D$16</f>
        <v>0</v>
      </c>
      <c r="AG69" s="379">
        <f t="shared" si="22"/>
        <v>0</v>
      </c>
      <c r="AH69" s="60">
        <f t="shared" si="23"/>
        <v>0</v>
      </c>
      <c r="AI69" s="376">
        <f t="shared" si="24"/>
        <v>0</v>
      </c>
      <c r="AJ69" s="656">
        <f>(AH69+AI69)*'Datos generales'!$D$16</f>
        <v>0</v>
      </c>
    </row>
    <row r="70" spans="2:36" s="1" customFormat="1" ht="13.5" hidden="1" thickBot="1" x14ac:dyDescent="0.25">
      <c r="B70" s="370">
        <f t="shared" si="27"/>
        <v>44896</v>
      </c>
      <c r="C70" s="352">
        <f t="shared" si="32"/>
        <v>0</v>
      </c>
      <c r="D70" s="352">
        <f t="shared" si="33"/>
        <v>0</v>
      </c>
      <c r="E70" s="352">
        <f t="shared" si="2"/>
        <v>0</v>
      </c>
      <c r="F70" s="371">
        <f t="shared" si="3"/>
        <v>0</v>
      </c>
      <c r="G70" s="380">
        <f t="shared" si="4"/>
        <v>0</v>
      </c>
      <c r="H70" s="380">
        <f t="shared" si="5"/>
        <v>0</v>
      </c>
      <c r="I70" s="380">
        <f t="shared" si="6"/>
        <v>0</v>
      </c>
      <c r="J70" s="380">
        <f t="shared" si="7"/>
        <v>0</v>
      </c>
      <c r="K70" s="380">
        <f t="shared" si="8"/>
        <v>0</v>
      </c>
      <c r="L70" s="380">
        <f t="shared" si="9"/>
        <v>0</v>
      </c>
      <c r="M70" s="380">
        <f t="shared" si="10"/>
        <v>0</v>
      </c>
      <c r="N70" s="380">
        <f t="shared" si="11"/>
        <v>0</v>
      </c>
      <c r="O70" s="380">
        <f t="shared" si="12"/>
        <v>0</v>
      </c>
      <c r="P70" s="380">
        <f t="shared" si="13"/>
        <v>0</v>
      </c>
      <c r="Q70" s="380">
        <f t="shared" si="14"/>
        <v>0</v>
      </c>
      <c r="R70" s="380">
        <f t="shared" si="15"/>
        <v>0</v>
      </c>
      <c r="T70" s="372">
        <f t="shared" si="28"/>
        <v>44896</v>
      </c>
      <c r="U70" s="373">
        <f t="shared" si="29"/>
        <v>0</v>
      </c>
      <c r="V70" s="373">
        <f t="shared" si="31"/>
        <v>0</v>
      </c>
      <c r="W70" s="374">
        <f t="shared" si="30"/>
        <v>0</v>
      </c>
      <c r="X70" s="377">
        <f t="shared" si="26"/>
        <v>0</v>
      </c>
      <c r="Y70" s="380">
        <f t="shared" si="16"/>
        <v>0</v>
      </c>
      <c r="Z70" s="352">
        <f t="shared" si="17"/>
        <v>0</v>
      </c>
      <c r="AA70" s="377">
        <f t="shared" si="18"/>
        <v>0</v>
      </c>
      <c r="AB70" s="371">
        <f>(Z70+AA70)*'Datos generales'!$D$16</f>
        <v>0</v>
      </c>
      <c r="AC70" s="380">
        <f t="shared" si="19"/>
        <v>0</v>
      </c>
      <c r="AD70" s="352">
        <f t="shared" si="20"/>
        <v>0</v>
      </c>
      <c r="AE70" s="377">
        <f t="shared" si="21"/>
        <v>0</v>
      </c>
      <c r="AF70" s="371">
        <f>(AD70+AE70)*'Datos generales'!$D$16</f>
        <v>0</v>
      </c>
      <c r="AG70" s="380">
        <f t="shared" si="22"/>
        <v>0</v>
      </c>
      <c r="AH70" s="352">
        <f t="shared" si="23"/>
        <v>0</v>
      </c>
      <c r="AI70" s="377">
        <f t="shared" si="24"/>
        <v>0</v>
      </c>
      <c r="AJ70" s="371">
        <f>(AH70+AI70)*'Datos generales'!$D$16</f>
        <v>0</v>
      </c>
    </row>
    <row r="71" spans="2:36" hidden="1" x14ac:dyDescent="0.2">
      <c r="B71" s="214">
        <f t="shared" si="27"/>
        <v>44927</v>
      </c>
      <c r="C71" s="60">
        <f t="shared" si="32"/>
        <v>0</v>
      </c>
      <c r="D71" s="60">
        <f t="shared" si="33"/>
        <v>0</v>
      </c>
      <c r="E71" s="60">
        <f t="shared" si="2"/>
        <v>0</v>
      </c>
      <c r="F71" s="215">
        <f t="shared" si="3"/>
        <v>0</v>
      </c>
      <c r="G71" s="60">
        <f t="shared" si="4"/>
        <v>0</v>
      </c>
      <c r="H71" s="60">
        <f t="shared" si="5"/>
        <v>0</v>
      </c>
      <c r="I71" s="60">
        <f t="shared" si="6"/>
        <v>0</v>
      </c>
      <c r="J71" s="215">
        <f t="shared" si="7"/>
        <v>0</v>
      </c>
      <c r="K71" s="60">
        <f t="shared" si="8"/>
        <v>0</v>
      </c>
      <c r="L71" s="60">
        <f t="shared" si="9"/>
        <v>0</v>
      </c>
      <c r="M71" s="60">
        <f t="shared" si="10"/>
        <v>0</v>
      </c>
      <c r="N71" s="215">
        <f t="shared" si="11"/>
        <v>0</v>
      </c>
      <c r="O71" s="60">
        <f t="shared" si="12"/>
        <v>0</v>
      </c>
      <c r="P71" s="60">
        <f t="shared" si="13"/>
        <v>0</v>
      </c>
      <c r="Q71" s="60">
        <f t="shared" si="14"/>
        <v>0</v>
      </c>
      <c r="R71" s="215">
        <f t="shared" si="15"/>
        <v>0</v>
      </c>
      <c r="T71" s="214">
        <f t="shared" si="28"/>
        <v>44927</v>
      </c>
      <c r="U71" s="60">
        <f t="shared" si="29"/>
        <v>0</v>
      </c>
      <c r="V71" s="60">
        <f t="shared" si="31"/>
        <v>0</v>
      </c>
      <c r="W71" s="215">
        <f t="shared" si="30"/>
        <v>0</v>
      </c>
      <c r="X71" s="376">
        <f t="shared" si="26"/>
        <v>0</v>
      </c>
      <c r="Y71" s="379">
        <f t="shared" si="16"/>
        <v>0</v>
      </c>
      <c r="Z71" s="60">
        <f t="shared" si="17"/>
        <v>0</v>
      </c>
      <c r="AA71" s="376">
        <f t="shared" si="18"/>
        <v>0</v>
      </c>
      <c r="AB71" s="656">
        <f>(Z71+AA71)*'Datos generales'!$D$16</f>
        <v>0</v>
      </c>
      <c r="AC71" s="379">
        <f t="shared" si="19"/>
        <v>0</v>
      </c>
      <c r="AD71" s="60">
        <f t="shared" si="20"/>
        <v>0</v>
      </c>
      <c r="AE71" s="376">
        <f t="shared" si="21"/>
        <v>0</v>
      </c>
      <c r="AF71" s="656">
        <f>(AD71+AE71)*'Datos generales'!$D$16</f>
        <v>0</v>
      </c>
      <c r="AG71" s="379">
        <f t="shared" si="22"/>
        <v>0</v>
      </c>
      <c r="AH71" s="60">
        <f t="shared" si="23"/>
        <v>0</v>
      </c>
      <c r="AI71" s="376">
        <f t="shared" si="24"/>
        <v>0</v>
      </c>
      <c r="AJ71" s="656">
        <f>(AH71+AI71)*'Datos generales'!$D$16</f>
        <v>0</v>
      </c>
    </row>
    <row r="72" spans="2:36" hidden="1" x14ac:dyDescent="0.2">
      <c r="B72" s="214">
        <f t="shared" si="27"/>
        <v>44958</v>
      </c>
      <c r="C72" s="60">
        <f t="shared" si="32"/>
        <v>0</v>
      </c>
      <c r="D72" s="60">
        <f t="shared" si="33"/>
        <v>0</v>
      </c>
      <c r="E72" s="60">
        <f t="shared" si="2"/>
        <v>0</v>
      </c>
      <c r="F72" s="215">
        <f t="shared" si="3"/>
        <v>0</v>
      </c>
      <c r="G72" s="60">
        <f t="shared" si="4"/>
        <v>0</v>
      </c>
      <c r="H72" s="60">
        <f t="shared" si="5"/>
        <v>0</v>
      </c>
      <c r="I72" s="60">
        <f t="shared" si="6"/>
        <v>0</v>
      </c>
      <c r="J72" s="215">
        <f t="shared" si="7"/>
        <v>0</v>
      </c>
      <c r="K72" s="60">
        <f t="shared" si="8"/>
        <v>0</v>
      </c>
      <c r="L72" s="60">
        <f t="shared" si="9"/>
        <v>0</v>
      </c>
      <c r="M72" s="60">
        <f t="shared" si="10"/>
        <v>0</v>
      </c>
      <c r="N72" s="215">
        <f t="shared" si="11"/>
        <v>0</v>
      </c>
      <c r="O72" s="60">
        <f t="shared" si="12"/>
        <v>0</v>
      </c>
      <c r="P72" s="60">
        <f t="shared" si="13"/>
        <v>0</v>
      </c>
      <c r="Q72" s="60">
        <f t="shared" si="14"/>
        <v>0</v>
      </c>
      <c r="R72" s="215">
        <f t="shared" si="15"/>
        <v>0</v>
      </c>
      <c r="T72" s="214">
        <f t="shared" si="28"/>
        <v>44958</v>
      </c>
      <c r="U72" s="60">
        <f t="shared" si="29"/>
        <v>0</v>
      </c>
      <c r="V72" s="60">
        <f t="shared" si="31"/>
        <v>0</v>
      </c>
      <c r="W72" s="215">
        <f t="shared" si="30"/>
        <v>0</v>
      </c>
      <c r="X72" s="376">
        <f t="shared" si="26"/>
        <v>0</v>
      </c>
      <c r="Y72" s="379">
        <f t="shared" si="16"/>
        <v>0</v>
      </c>
      <c r="Z72" s="60">
        <f t="shared" si="17"/>
        <v>0</v>
      </c>
      <c r="AA72" s="376">
        <f t="shared" si="18"/>
        <v>0</v>
      </c>
      <c r="AB72" s="656">
        <f>(Z72+AA72)*'Datos generales'!$D$16</f>
        <v>0</v>
      </c>
      <c r="AC72" s="379">
        <f t="shared" si="19"/>
        <v>0</v>
      </c>
      <c r="AD72" s="60">
        <f t="shared" si="20"/>
        <v>0</v>
      </c>
      <c r="AE72" s="376">
        <f t="shared" si="21"/>
        <v>0</v>
      </c>
      <c r="AF72" s="656">
        <f>(AD72+AE72)*'Datos generales'!$D$16</f>
        <v>0</v>
      </c>
      <c r="AG72" s="379">
        <f t="shared" si="22"/>
        <v>0</v>
      </c>
      <c r="AH72" s="60">
        <f t="shared" si="23"/>
        <v>0</v>
      </c>
      <c r="AI72" s="376">
        <f t="shared" si="24"/>
        <v>0</v>
      </c>
      <c r="AJ72" s="656">
        <f>(AH72+AI72)*'Datos generales'!$D$16</f>
        <v>0</v>
      </c>
    </row>
    <row r="73" spans="2:36" hidden="1" x14ac:dyDescent="0.2">
      <c r="B73" s="214">
        <f t="shared" si="27"/>
        <v>44986</v>
      </c>
      <c r="C73" s="60">
        <f t="shared" si="32"/>
        <v>0</v>
      </c>
      <c r="D73" s="60">
        <f t="shared" si="33"/>
        <v>0</v>
      </c>
      <c r="E73" s="60">
        <f t="shared" si="2"/>
        <v>0</v>
      </c>
      <c r="F73" s="215">
        <f t="shared" si="3"/>
        <v>0</v>
      </c>
      <c r="G73" s="60">
        <f t="shared" si="4"/>
        <v>0</v>
      </c>
      <c r="H73" s="60">
        <f t="shared" si="5"/>
        <v>0</v>
      </c>
      <c r="I73" s="60">
        <f t="shared" si="6"/>
        <v>0</v>
      </c>
      <c r="J73" s="215">
        <f t="shared" si="7"/>
        <v>0</v>
      </c>
      <c r="K73" s="60">
        <f t="shared" si="8"/>
        <v>0</v>
      </c>
      <c r="L73" s="60">
        <f t="shared" si="9"/>
        <v>0</v>
      </c>
      <c r="M73" s="60">
        <f t="shared" si="10"/>
        <v>0</v>
      </c>
      <c r="N73" s="215">
        <f t="shared" si="11"/>
        <v>0</v>
      </c>
      <c r="O73" s="60">
        <f t="shared" si="12"/>
        <v>0</v>
      </c>
      <c r="P73" s="60">
        <f t="shared" si="13"/>
        <v>0</v>
      </c>
      <c r="Q73" s="60">
        <f t="shared" si="14"/>
        <v>0</v>
      </c>
      <c r="R73" s="215">
        <f t="shared" si="15"/>
        <v>0</v>
      </c>
      <c r="T73" s="214">
        <f t="shared" si="28"/>
        <v>44986</v>
      </c>
      <c r="U73" s="60">
        <f t="shared" si="29"/>
        <v>0</v>
      </c>
      <c r="V73" s="60">
        <f t="shared" si="31"/>
        <v>0</v>
      </c>
      <c r="W73" s="215">
        <f t="shared" si="30"/>
        <v>0</v>
      </c>
      <c r="X73" s="376">
        <f t="shared" si="26"/>
        <v>0</v>
      </c>
      <c r="Y73" s="379">
        <f t="shared" si="16"/>
        <v>0</v>
      </c>
      <c r="Z73" s="60">
        <f t="shared" si="17"/>
        <v>0</v>
      </c>
      <c r="AA73" s="376">
        <f t="shared" si="18"/>
        <v>0</v>
      </c>
      <c r="AB73" s="656">
        <f>(Z73+AA73)*'Datos generales'!$D$16</f>
        <v>0</v>
      </c>
      <c r="AC73" s="379">
        <f t="shared" si="19"/>
        <v>0</v>
      </c>
      <c r="AD73" s="60">
        <f t="shared" si="20"/>
        <v>0</v>
      </c>
      <c r="AE73" s="376">
        <f t="shared" si="21"/>
        <v>0</v>
      </c>
      <c r="AF73" s="656">
        <f>(AD73+AE73)*'Datos generales'!$D$16</f>
        <v>0</v>
      </c>
      <c r="AG73" s="379">
        <f t="shared" si="22"/>
        <v>0</v>
      </c>
      <c r="AH73" s="60">
        <f t="shared" si="23"/>
        <v>0</v>
      </c>
      <c r="AI73" s="376">
        <f t="shared" si="24"/>
        <v>0</v>
      </c>
      <c r="AJ73" s="656">
        <f>(AH73+AI73)*'Datos generales'!$D$16</f>
        <v>0</v>
      </c>
    </row>
    <row r="74" spans="2:36" hidden="1" x14ac:dyDescent="0.2">
      <c r="B74" s="214">
        <f t="shared" si="27"/>
        <v>45017</v>
      </c>
      <c r="C74" s="60">
        <f t="shared" si="32"/>
        <v>0</v>
      </c>
      <c r="D74" s="60">
        <f t="shared" si="33"/>
        <v>0</v>
      </c>
      <c r="E74" s="60">
        <f t="shared" si="2"/>
        <v>0</v>
      </c>
      <c r="F74" s="215">
        <f t="shared" si="3"/>
        <v>0</v>
      </c>
      <c r="G74" s="60">
        <f t="shared" si="4"/>
        <v>0</v>
      </c>
      <c r="H74" s="60">
        <f t="shared" si="5"/>
        <v>0</v>
      </c>
      <c r="I74" s="60">
        <f t="shared" si="6"/>
        <v>0</v>
      </c>
      <c r="J74" s="215">
        <f t="shared" si="7"/>
        <v>0</v>
      </c>
      <c r="K74" s="60">
        <f t="shared" si="8"/>
        <v>0</v>
      </c>
      <c r="L74" s="60">
        <f t="shared" si="9"/>
        <v>0</v>
      </c>
      <c r="M74" s="60">
        <f t="shared" si="10"/>
        <v>0</v>
      </c>
      <c r="N74" s="215">
        <f t="shared" si="11"/>
        <v>0</v>
      </c>
      <c r="O74" s="60">
        <f t="shared" si="12"/>
        <v>0</v>
      </c>
      <c r="P74" s="60">
        <f t="shared" si="13"/>
        <v>0</v>
      </c>
      <c r="Q74" s="60">
        <f t="shared" si="14"/>
        <v>0</v>
      </c>
      <c r="R74" s="215">
        <f t="shared" si="15"/>
        <v>0</v>
      </c>
      <c r="T74" s="214">
        <f t="shared" si="28"/>
        <v>45017</v>
      </c>
      <c r="U74" s="60">
        <f t="shared" si="29"/>
        <v>0</v>
      </c>
      <c r="V74" s="60">
        <f t="shared" si="31"/>
        <v>0</v>
      </c>
      <c r="W74" s="215">
        <f t="shared" si="30"/>
        <v>0</v>
      </c>
      <c r="X74" s="376">
        <f t="shared" si="26"/>
        <v>0</v>
      </c>
      <c r="Y74" s="379">
        <f t="shared" si="16"/>
        <v>0</v>
      </c>
      <c r="Z74" s="60">
        <f t="shared" si="17"/>
        <v>0</v>
      </c>
      <c r="AA74" s="376">
        <f t="shared" si="18"/>
        <v>0</v>
      </c>
      <c r="AB74" s="656">
        <f>(Z74+AA74)*'Datos generales'!$D$16</f>
        <v>0</v>
      </c>
      <c r="AC74" s="379">
        <f t="shared" si="19"/>
        <v>0</v>
      </c>
      <c r="AD74" s="60">
        <f t="shared" si="20"/>
        <v>0</v>
      </c>
      <c r="AE74" s="376">
        <f t="shared" si="21"/>
        <v>0</v>
      </c>
      <c r="AF74" s="656">
        <f>(AD74+AE74)*'Datos generales'!$D$16</f>
        <v>0</v>
      </c>
      <c r="AG74" s="379">
        <f t="shared" si="22"/>
        <v>0</v>
      </c>
      <c r="AH74" s="60">
        <f t="shared" si="23"/>
        <v>0</v>
      </c>
      <c r="AI74" s="376">
        <f t="shared" si="24"/>
        <v>0</v>
      </c>
      <c r="AJ74" s="656">
        <f>(AH74+AI74)*'Datos generales'!$D$16</f>
        <v>0</v>
      </c>
    </row>
    <row r="75" spans="2:36" hidden="1" x14ac:dyDescent="0.2">
      <c r="B75" s="214">
        <f t="shared" si="27"/>
        <v>45047</v>
      </c>
      <c r="C75" s="60">
        <f t="shared" si="32"/>
        <v>0</v>
      </c>
      <c r="D75" s="60">
        <f t="shared" si="33"/>
        <v>0</v>
      </c>
      <c r="E75" s="60">
        <f t="shared" si="2"/>
        <v>0</v>
      </c>
      <c r="F75" s="215">
        <f t="shared" si="3"/>
        <v>0</v>
      </c>
      <c r="G75" s="60">
        <f t="shared" si="4"/>
        <v>0</v>
      </c>
      <c r="H75" s="60">
        <f t="shared" si="5"/>
        <v>0</v>
      </c>
      <c r="I75" s="60">
        <f t="shared" si="6"/>
        <v>0</v>
      </c>
      <c r="J75" s="215">
        <f t="shared" si="7"/>
        <v>0</v>
      </c>
      <c r="K75" s="60">
        <f t="shared" si="8"/>
        <v>0</v>
      </c>
      <c r="L75" s="60">
        <f t="shared" si="9"/>
        <v>0</v>
      </c>
      <c r="M75" s="60">
        <f t="shared" si="10"/>
        <v>0</v>
      </c>
      <c r="N75" s="215">
        <f t="shared" si="11"/>
        <v>0</v>
      </c>
      <c r="O75" s="60">
        <f t="shared" si="12"/>
        <v>0</v>
      </c>
      <c r="P75" s="60">
        <f t="shared" si="13"/>
        <v>0</v>
      </c>
      <c r="Q75" s="60">
        <f t="shared" si="14"/>
        <v>0</v>
      </c>
      <c r="R75" s="215">
        <f t="shared" si="15"/>
        <v>0</v>
      </c>
      <c r="T75" s="214">
        <f t="shared" si="28"/>
        <v>45047</v>
      </c>
      <c r="U75" s="60">
        <f t="shared" si="29"/>
        <v>0</v>
      </c>
      <c r="V75" s="60">
        <f t="shared" si="31"/>
        <v>0</v>
      </c>
      <c r="W75" s="215">
        <f t="shared" si="30"/>
        <v>0</v>
      </c>
      <c r="X75" s="376">
        <f t="shared" si="26"/>
        <v>0</v>
      </c>
      <c r="Y75" s="379">
        <f t="shared" si="16"/>
        <v>0</v>
      </c>
      <c r="Z75" s="60">
        <f t="shared" si="17"/>
        <v>0</v>
      </c>
      <c r="AA75" s="376">
        <f t="shared" si="18"/>
        <v>0</v>
      </c>
      <c r="AB75" s="656">
        <f>(Z75+AA75)*'Datos generales'!$D$16</f>
        <v>0</v>
      </c>
      <c r="AC75" s="379">
        <f t="shared" si="19"/>
        <v>0</v>
      </c>
      <c r="AD75" s="60">
        <f t="shared" si="20"/>
        <v>0</v>
      </c>
      <c r="AE75" s="376">
        <f t="shared" si="21"/>
        <v>0</v>
      </c>
      <c r="AF75" s="656">
        <f>(AD75+AE75)*'Datos generales'!$D$16</f>
        <v>0</v>
      </c>
      <c r="AG75" s="379">
        <f t="shared" si="22"/>
        <v>0</v>
      </c>
      <c r="AH75" s="60">
        <f t="shared" si="23"/>
        <v>0</v>
      </c>
      <c r="AI75" s="376">
        <f t="shared" si="24"/>
        <v>0</v>
      </c>
      <c r="AJ75" s="656">
        <f>(AH75+AI75)*'Datos generales'!$D$16</f>
        <v>0</v>
      </c>
    </row>
    <row r="76" spans="2:36" hidden="1" x14ac:dyDescent="0.2">
      <c r="B76" s="214">
        <f t="shared" si="27"/>
        <v>45078</v>
      </c>
      <c r="C76" s="60">
        <f t="shared" si="32"/>
        <v>0</v>
      </c>
      <c r="D76" s="60">
        <f t="shared" si="33"/>
        <v>0</v>
      </c>
      <c r="E76" s="60">
        <f t="shared" si="2"/>
        <v>0</v>
      </c>
      <c r="F76" s="215">
        <f t="shared" si="3"/>
        <v>0</v>
      </c>
      <c r="G76" s="60">
        <f t="shared" si="4"/>
        <v>0</v>
      </c>
      <c r="H76" s="60">
        <f t="shared" si="5"/>
        <v>0</v>
      </c>
      <c r="I76" s="60">
        <f t="shared" si="6"/>
        <v>0</v>
      </c>
      <c r="J76" s="215">
        <f t="shared" si="7"/>
        <v>0</v>
      </c>
      <c r="K76" s="60">
        <f t="shared" si="8"/>
        <v>0</v>
      </c>
      <c r="L76" s="60">
        <f t="shared" si="9"/>
        <v>0</v>
      </c>
      <c r="M76" s="60">
        <f t="shared" si="10"/>
        <v>0</v>
      </c>
      <c r="N76" s="215">
        <f t="shared" si="11"/>
        <v>0</v>
      </c>
      <c r="O76" s="60">
        <f t="shared" si="12"/>
        <v>0</v>
      </c>
      <c r="P76" s="60">
        <f t="shared" si="13"/>
        <v>0</v>
      </c>
      <c r="Q76" s="60">
        <f t="shared" si="14"/>
        <v>0</v>
      </c>
      <c r="R76" s="215">
        <f t="shared" si="15"/>
        <v>0</v>
      </c>
      <c r="T76" s="214">
        <f t="shared" si="28"/>
        <v>45078</v>
      </c>
      <c r="U76" s="60">
        <f t="shared" si="29"/>
        <v>0</v>
      </c>
      <c r="V76" s="60">
        <f t="shared" si="31"/>
        <v>0</v>
      </c>
      <c r="W76" s="215">
        <f t="shared" si="30"/>
        <v>0</v>
      </c>
      <c r="X76" s="376">
        <f t="shared" si="26"/>
        <v>0</v>
      </c>
      <c r="Y76" s="379">
        <f t="shared" si="16"/>
        <v>0</v>
      </c>
      <c r="Z76" s="60">
        <f t="shared" si="17"/>
        <v>0</v>
      </c>
      <c r="AA76" s="376">
        <f t="shared" si="18"/>
        <v>0</v>
      </c>
      <c r="AB76" s="656">
        <f>(Z76+AA76)*'Datos generales'!$D$16</f>
        <v>0</v>
      </c>
      <c r="AC76" s="379">
        <f t="shared" si="19"/>
        <v>0</v>
      </c>
      <c r="AD76" s="60">
        <f t="shared" si="20"/>
        <v>0</v>
      </c>
      <c r="AE76" s="376">
        <f t="shared" si="21"/>
        <v>0</v>
      </c>
      <c r="AF76" s="656">
        <f>(AD76+AE76)*'Datos generales'!$D$16</f>
        <v>0</v>
      </c>
      <c r="AG76" s="379">
        <f t="shared" si="22"/>
        <v>0</v>
      </c>
      <c r="AH76" s="60">
        <f t="shared" si="23"/>
        <v>0</v>
      </c>
      <c r="AI76" s="376">
        <f t="shared" si="24"/>
        <v>0</v>
      </c>
      <c r="AJ76" s="656">
        <f>(AH76+AI76)*'Datos generales'!$D$16</f>
        <v>0</v>
      </c>
    </row>
    <row r="77" spans="2:36" hidden="1" x14ac:dyDescent="0.2">
      <c r="B77" s="214">
        <f t="shared" si="27"/>
        <v>45108</v>
      </c>
      <c r="C77" s="60">
        <f t="shared" si="32"/>
        <v>0</v>
      </c>
      <c r="D77" s="60">
        <f t="shared" si="33"/>
        <v>0</v>
      </c>
      <c r="E77" s="60">
        <f t="shared" si="2"/>
        <v>0</v>
      </c>
      <c r="F77" s="215">
        <f t="shared" si="3"/>
        <v>0</v>
      </c>
      <c r="G77" s="60">
        <f t="shared" si="4"/>
        <v>0</v>
      </c>
      <c r="H77" s="60">
        <f t="shared" si="5"/>
        <v>0</v>
      </c>
      <c r="I77" s="60">
        <f t="shared" si="6"/>
        <v>0</v>
      </c>
      <c r="J77" s="215">
        <f t="shared" si="7"/>
        <v>0</v>
      </c>
      <c r="K77" s="60">
        <f t="shared" si="8"/>
        <v>0</v>
      </c>
      <c r="L77" s="60">
        <f t="shared" si="9"/>
        <v>0</v>
      </c>
      <c r="M77" s="60">
        <f t="shared" si="10"/>
        <v>0</v>
      </c>
      <c r="N77" s="215">
        <f t="shared" si="11"/>
        <v>0</v>
      </c>
      <c r="O77" s="60">
        <f t="shared" si="12"/>
        <v>0</v>
      </c>
      <c r="P77" s="60">
        <f t="shared" si="13"/>
        <v>0</v>
      </c>
      <c r="Q77" s="60">
        <f t="shared" si="14"/>
        <v>0</v>
      </c>
      <c r="R77" s="215">
        <f t="shared" si="15"/>
        <v>0</v>
      </c>
      <c r="T77" s="214">
        <f t="shared" si="28"/>
        <v>45108</v>
      </c>
      <c r="U77" s="60">
        <f t="shared" si="29"/>
        <v>0</v>
      </c>
      <c r="V77" s="60">
        <f t="shared" si="31"/>
        <v>0</v>
      </c>
      <c r="W77" s="215">
        <f t="shared" si="30"/>
        <v>0</v>
      </c>
      <c r="X77" s="376">
        <f t="shared" si="26"/>
        <v>0</v>
      </c>
      <c r="Y77" s="379">
        <f t="shared" si="16"/>
        <v>0</v>
      </c>
      <c r="Z77" s="60">
        <f t="shared" si="17"/>
        <v>0</v>
      </c>
      <c r="AA77" s="376">
        <f t="shared" si="18"/>
        <v>0</v>
      </c>
      <c r="AB77" s="656">
        <f>(Z77+AA77)*'Datos generales'!$D$16</f>
        <v>0</v>
      </c>
      <c r="AC77" s="379">
        <f t="shared" si="19"/>
        <v>0</v>
      </c>
      <c r="AD77" s="60">
        <f t="shared" si="20"/>
        <v>0</v>
      </c>
      <c r="AE77" s="376">
        <f t="shared" si="21"/>
        <v>0</v>
      </c>
      <c r="AF77" s="656">
        <f>(AD77+AE77)*'Datos generales'!$D$16</f>
        <v>0</v>
      </c>
      <c r="AG77" s="379">
        <f t="shared" si="22"/>
        <v>0</v>
      </c>
      <c r="AH77" s="60">
        <f t="shared" si="23"/>
        <v>0</v>
      </c>
      <c r="AI77" s="376">
        <f t="shared" si="24"/>
        <v>0</v>
      </c>
      <c r="AJ77" s="656">
        <f>(AH77+AI77)*'Datos generales'!$D$16</f>
        <v>0</v>
      </c>
    </row>
    <row r="78" spans="2:36" hidden="1" x14ac:dyDescent="0.2">
      <c r="B78" s="214">
        <f t="shared" si="27"/>
        <v>45139</v>
      </c>
      <c r="C78" s="60">
        <f t="shared" si="32"/>
        <v>0</v>
      </c>
      <c r="D78" s="60">
        <f t="shared" si="33"/>
        <v>0</v>
      </c>
      <c r="E78" s="60">
        <f t="shared" si="2"/>
        <v>0</v>
      </c>
      <c r="F78" s="215">
        <f t="shared" si="3"/>
        <v>0</v>
      </c>
      <c r="G78" s="60">
        <f t="shared" si="4"/>
        <v>0</v>
      </c>
      <c r="H78" s="60">
        <f t="shared" si="5"/>
        <v>0</v>
      </c>
      <c r="I78" s="60">
        <f t="shared" si="6"/>
        <v>0</v>
      </c>
      <c r="J78" s="215">
        <f t="shared" si="7"/>
        <v>0</v>
      </c>
      <c r="K78" s="60">
        <f t="shared" si="8"/>
        <v>0</v>
      </c>
      <c r="L78" s="60">
        <f t="shared" si="9"/>
        <v>0</v>
      </c>
      <c r="M78" s="60">
        <f t="shared" si="10"/>
        <v>0</v>
      </c>
      <c r="N78" s="215">
        <f t="shared" si="11"/>
        <v>0</v>
      </c>
      <c r="O78" s="60">
        <f t="shared" si="12"/>
        <v>0</v>
      </c>
      <c r="P78" s="60">
        <f t="shared" si="13"/>
        <v>0</v>
      </c>
      <c r="Q78" s="60">
        <f t="shared" si="14"/>
        <v>0</v>
      </c>
      <c r="R78" s="215">
        <f t="shared" si="15"/>
        <v>0</v>
      </c>
      <c r="T78" s="214">
        <f t="shared" si="28"/>
        <v>45139</v>
      </c>
      <c r="U78" s="60">
        <f t="shared" si="29"/>
        <v>0</v>
      </c>
      <c r="V78" s="60">
        <f t="shared" si="31"/>
        <v>0</v>
      </c>
      <c r="W78" s="215">
        <f t="shared" si="30"/>
        <v>0</v>
      </c>
      <c r="X78" s="376">
        <f t="shared" si="26"/>
        <v>0</v>
      </c>
      <c r="Y78" s="379">
        <f t="shared" si="16"/>
        <v>0</v>
      </c>
      <c r="Z78" s="60">
        <f t="shared" si="17"/>
        <v>0</v>
      </c>
      <c r="AA78" s="376">
        <f t="shared" si="18"/>
        <v>0</v>
      </c>
      <c r="AB78" s="656">
        <f>(Z78+AA78)*'Datos generales'!$D$16</f>
        <v>0</v>
      </c>
      <c r="AC78" s="379">
        <f t="shared" si="19"/>
        <v>0</v>
      </c>
      <c r="AD78" s="60">
        <f t="shared" si="20"/>
        <v>0</v>
      </c>
      <c r="AE78" s="376">
        <f t="shared" si="21"/>
        <v>0</v>
      </c>
      <c r="AF78" s="656">
        <f>(AD78+AE78)*'Datos generales'!$D$16</f>
        <v>0</v>
      </c>
      <c r="AG78" s="379">
        <f t="shared" si="22"/>
        <v>0</v>
      </c>
      <c r="AH78" s="60">
        <f t="shared" si="23"/>
        <v>0</v>
      </c>
      <c r="AI78" s="376">
        <f t="shared" si="24"/>
        <v>0</v>
      </c>
      <c r="AJ78" s="656">
        <f>(AH78+AI78)*'Datos generales'!$D$16</f>
        <v>0</v>
      </c>
    </row>
    <row r="79" spans="2:36" hidden="1" x14ac:dyDescent="0.2">
      <c r="B79" s="214">
        <f t="shared" si="27"/>
        <v>45170</v>
      </c>
      <c r="C79" s="60">
        <f t="shared" si="32"/>
        <v>0</v>
      </c>
      <c r="D79" s="60">
        <f t="shared" si="33"/>
        <v>0</v>
      </c>
      <c r="E79" s="60">
        <f t="shared" si="2"/>
        <v>0</v>
      </c>
      <c r="F79" s="215">
        <f t="shared" si="3"/>
        <v>0</v>
      </c>
      <c r="G79" s="60">
        <f t="shared" si="4"/>
        <v>0</v>
      </c>
      <c r="H79" s="60">
        <f t="shared" si="5"/>
        <v>0</v>
      </c>
      <c r="I79" s="60">
        <f t="shared" si="6"/>
        <v>0</v>
      </c>
      <c r="J79" s="215">
        <f t="shared" si="7"/>
        <v>0</v>
      </c>
      <c r="K79" s="60">
        <f t="shared" si="8"/>
        <v>0</v>
      </c>
      <c r="L79" s="60">
        <f t="shared" si="9"/>
        <v>0</v>
      </c>
      <c r="M79" s="60">
        <f t="shared" si="10"/>
        <v>0</v>
      </c>
      <c r="N79" s="215">
        <f t="shared" si="11"/>
        <v>0</v>
      </c>
      <c r="O79" s="60">
        <f t="shared" si="12"/>
        <v>0</v>
      </c>
      <c r="P79" s="60">
        <f t="shared" si="13"/>
        <v>0</v>
      </c>
      <c r="Q79" s="60">
        <f t="shared" si="14"/>
        <v>0</v>
      </c>
      <c r="R79" s="215">
        <f t="shared" si="15"/>
        <v>0</v>
      </c>
      <c r="T79" s="214">
        <f t="shared" si="28"/>
        <v>45170</v>
      </c>
      <c r="U79" s="60">
        <f t="shared" si="29"/>
        <v>0</v>
      </c>
      <c r="V79" s="60">
        <f t="shared" si="31"/>
        <v>0</v>
      </c>
      <c r="W79" s="215">
        <f t="shared" si="30"/>
        <v>0</v>
      </c>
      <c r="X79" s="376">
        <f t="shared" si="26"/>
        <v>0</v>
      </c>
      <c r="Y79" s="379">
        <f t="shared" si="16"/>
        <v>0</v>
      </c>
      <c r="Z79" s="60">
        <f t="shared" si="17"/>
        <v>0</v>
      </c>
      <c r="AA79" s="376">
        <f t="shared" si="18"/>
        <v>0</v>
      </c>
      <c r="AB79" s="656">
        <f>(Z79+AA79)*'Datos generales'!$D$16</f>
        <v>0</v>
      </c>
      <c r="AC79" s="379">
        <f t="shared" si="19"/>
        <v>0</v>
      </c>
      <c r="AD79" s="60">
        <f t="shared" si="20"/>
        <v>0</v>
      </c>
      <c r="AE79" s="376">
        <f t="shared" si="21"/>
        <v>0</v>
      </c>
      <c r="AF79" s="656">
        <f>(AD79+AE79)*'Datos generales'!$D$16</f>
        <v>0</v>
      </c>
      <c r="AG79" s="379">
        <f t="shared" si="22"/>
        <v>0</v>
      </c>
      <c r="AH79" s="60">
        <f t="shared" si="23"/>
        <v>0</v>
      </c>
      <c r="AI79" s="376">
        <f t="shared" si="24"/>
        <v>0</v>
      </c>
      <c r="AJ79" s="656">
        <f>(AH79+AI79)*'Datos generales'!$D$16</f>
        <v>0</v>
      </c>
    </row>
    <row r="80" spans="2:36" hidden="1" x14ac:dyDescent="0.2">
      <c r="B80" s="214">
        <f t="shared" si="27"/>
        <v>45200</v>
      </c>
      <c r="C80" s="60">
        <f t="shared" si="32"/>
        <v>0</v>
      </c>
      <c r="D80" s="60">
        <f t="shared" si="33"/>
        <v>0</v>
      </c>
      <c r="E80" s="60">
        <f t="shared" si="2"/>
        <v>0</v>
      </c>
      <c r="F80" s="215">
        <f t="shared" si="3"/>
        <v>0</v>
      </c>
      <c r="G80" s="60">
        <f t="shared" si="4"/>
        <v>0</v>
      </c>
      <c r="H80" s="60">
        <f t="shared" si="5"/>
        <v>0</v>
      </c>
      <c r="I80" s="60">
        <f t="shared" si="6"/>
        <v>0</v>
      </c>
      <c r="J80" s="215">
        <f t="shared" si="7"/>
        <v>0</v>
      </c>
      <c r="K80" s="60">
        <f t="shared" si="8"/>
        <v>0</v>
      </c>
      <c r="L80" s="60">
        <f t="shared" si="9"/>
        <v>0</v>
      </c>
      <c r="M80" s="60">
        <f t="shared" si="10"/>
        <v>0</v>
      </c>
      <c r="N80" s="215">
        <f t="shared" si="11"/>
        <v>0</v>
      </c>
      <c r="O80" s="60">
        <f t="shared" si="12"/>
        <v>0</v>
      </c>
      <c r="P80" s="60">
        <f t="shared" si="13"/>
        <v>0</v>
      </c>
      <c r="Q80" s="60">
        <f t="shared" si="14"/>
        <v>0</v>
      </c>
      <c r="R80" s="215">
        <f t="shared" si="15"/>
        <v>0</v>
      </c>
      <c r="T80" s="214">
        <f t="shared" si="28"/>
        <v>45200</v>
      </c>
      <c r="U80" s="60">
        <f t="shared" si="29"/>
        <v>0</v>
      </c>
      <c r="V80" s="60">
        <f t="shared" si="31"/>
        <v>0</v>
      </c>
      <c r="W80" s="215">
        <f t="shared" si="30"/>
        <v>0</v>
      </c>
      <c r="X80" s="376">
        <f t="shared" si="26"/>
        <v>0</v>
      </c>
      <c r="Y80" s="379">
        <f t="shared" si="16"/>
        <v>0</v>
      </c>
      <c r="Z80" s="60">
        <f t="shared" si="17"/>
        <v>0</v>
      </c>
      <c r="AA80" s="376">
        <f t="shared" si="18"/>
        <v>0</v>
      </c>
      <c r="AB80" s="656">
        <f>(Z80+AA80)*'Datos generales'!$D$16</f>
        <v>0</v>
      </c>
      <c r="AC80" s="379">
        <f t="shared" si="19"/>
        <v>0</v>
      </c>
      <c r="AD80" s="60">
        <f t="shared" si="20"/>
        <v>0</v>
      </c>
      <c r="AE80" s="376">
        <f t="shared" si="21"/>
        <v>0</v>
      </c>
      <c r="AF80" s="656">
        <f>(AD80+AE80)*'Datos generales'!$D$16</f>
        <v>0</v>
      </c>
      <c r="AG80" s="379">
        <f t="shared" si="22"/>
        <v>0</v>
      </c>
      <c r="AH80" s="60">
        <f t="shared" si="23"/>
        <v>0</v>
      </c>
      <c r="AI80" s="376">
        <f t="shared" si="24"/>
        <v>0</v>
      </c>
      <c r="AJ80" s="656">
        <f>(AH80+AI80)*'Datos generales'!$D$16</f>
        <v>0</v>
      </c>
    </row>
    <row r="81" spans="2:53" hidden="1" x14ac:dyDescent="0.2">
      <c r="B81" s="214">
        <f t="shared" si="27"/>
        <v>45231</v>
      </c>
      <c r="C81" s="60">
        <f t="shared" si="32"/>
        <v>0</v>
      </c>
      <c r="D81" s="60">
        <f t="shared" si="33"/>
        <v>0</v>
      </c>
      <c r="E81" s="60">
        <f t="shared" si="2"/>
        <v>0</v>
      </c>
      <c r="F81" s="215">
        <f t="shared" si="3"/>
        <v>0</v>
      </c>
      <c r="G81" s="60">
        <f t="shared" si="4"/>
        <v>0</v>
      </c>
      <c r="H81" s="60">
        <f t="shared" si="5"/>
        <v>0</v>
      </c>
      <c r="I81" s="60">
        <f t="shared" si="6"/>
        <v>0</v>
      </c>
      <c r="J81" s="215">
        <f t="shared" si="7"/>
        <v>0</v>
      </c>
      <c r="K81" s="60">
        <f t="shared" si="8"/>
        <v>0</v>
      </c>
      <c r="L81" s="60">
        <f t="shared" si="9"/>
        <v>0</v>
      </c>
      <c r="M81" s="60">
        <f t="shared" si="10"/>
        <v>0</v>
      </c>
      <c r="N81" s="215">
        <f t="shared" si="11"/>
        <v>0</v>
      </c>
      <c r="O81" s="60">
        <f t="shared" si="12"/>
        <v>0</v>
      </c>
      <c r="P81" s="60">
        <f t="shared" si="13"/>
        <v>0</v>
      </c>
      <c r="Q81" s="60">
        <f t="shared" si="14"/>
        <v>0</v>
      </c>
      <c r="R81" s="215">
        <f t="shared" si="15"/>
        <v>0</v>
      </c>
      <c r="T81" s="214">
        <f t="shared" si="28"/>
        <v>45231</v>
      </c>
      <c r="U81" s="60">
        <f t="shared" si="29"/>
        <v>0</v>
      </c>
      <c r="V81" s="60">
        <f t="shared" si="31"/>
        <v>0</v>
      </c>
      <c r="W81" s="215">
        <f t="shared" si="30"/>
        <v>0</v>
      </c>
      <c r="X81" s="376">
        <f t="shared" si="26"/>
        <v>0</v>
      </c>
      <c r="Y81" s="379">
        <f t="shared" si="16"/>
        <v>0</v>
      </c>
      <c r="Z81" s="60">
        <f t="shared" si="17"/>
        <v>0</v>
      </c>
      <c r="AA81" s="376">
        <f t="shared" si="18"/>
        <v>0</v>
      </c>
      <c r="AB81" s="656">
        <f>(Z81+AA81)*'Datos generales'!$D$16</f>
        <v>0</v>
      </c>
      <c r="AC81" s="379">
        <f t="shared" si="19"/>
        <v>0</v>
      </c>
      <c r="AD81" s="60">
        <f t="shared" si="20"/>
        <v>0</v>
      </c>
      <c r="AE81" s="376">
        <f t="shared" si="21"/>
        <v>0</v>
      </c>
      <c r="AF81" s="656">
        <f>(AD81+AE81)*'Datos generales'!$D$16</f>
        <v>0</v>
      </c>
      <c r="AG81" s="379">
        <f t="shared" si="22"/>
        <v>0</v>
      </c>
      <c r="AH81" s="60">
        <f t="shared" si="23"/>
        <v>0</v>
      </c>
      <c r="AI81" s="376">
        <f t="shared" si="24"/>
        <v>0</v>
      </c>
      <c r="AJ81" s="656">
        <f>(AH81+AI81)*'Datos generales'!$D$16</f>
        <v>0</v>
      </c>
    </row>
    <row r="82" spans="2:53" ht="13.5" hidden="1" thickBot="1" x14ac:dyDescent="0.25">
      <c r="B82" s="372">
        <f t="shared" si="27"/>
        <v>45261</v>
      </c>
      <c r="C82" s="373">
        <f t="shared" si="32"/>
        <v>0</v>
      </c>
      <c r="D82" s="373">
        <f t="shared" si="33"/>
        <v>0</v>
      </c>
      <c r="E82" s="373">
        <f t="shared" si="2"/>
        <v>0</v>
      </c>
      <c r="F82" s="374">
        <f t="shared" si="3"/>
        <v>0</v>
      </c>
      <c r="G82" s="373">
        <f t="shared" si="4"/>
        <v>0</v>
      </c>
      <c r="H82" s="60">
        <f t="shared" si="5"/>
        <v>0</v>
      </c>
      <c r="I82" s="373">
        <f t="shared" si="6"/>
        <v>0</v>
      </c>
      <c r="J82" s="374">
        <f t="shared" si="7"/>
        <v>0</v>
      </c>
      <c r="K82" s="373">
        <f t="shared" si="8"/>
        <v>0</v>
      </c>
      <c r="L82" s="373">
        <f t="shared" si="9"/>
        <v>0</v>
      </c>
      <c r="M82" s="373">
        <f t="shared" si="10"/>
        <v>0</v>
      </c>
      <c r="N82" s="374">
        <f t="shared" si="11"/>
        <v>0</v>
      </c>
      <c r="O82" s="373">
        <f t="shared" si="12"/>
        <v>0</v>
      </c>
      <c r="P82" s="373">
        <f t="shared" si="13"/>
        <v>0</v>
      </c>
      <c r="Q82" s="373">
        <f t="shared" si="14"/>
        <v>0</v>
      </c>
      <c r="R82" s="374">
        <f t="shared" si="15"/>
        <v>0</v>
      </c>
      <c r="T82" s="372">
        <f t="shared" si="28"/>
        <v>45261</v>
      </c>
      <c r="U82" s="373">
        <f t="shared" si="29"/>
        <v>0</v>
      </c>
      <c r="V82" s="373">
        <f t="shared" si="31"/>
        <v>0</v>
      </c>
      <c r="W82" s="374">
        <f t="shared" si="30"/>
        <v>0</v>
      </c>
      <c r="X82" s="378">
        <f t="shared" si="26"/>
        <v>0</v>
      </c>
      <c r="Y82" s="657">
        <f t="shared" si="16"/>
        <v>0</v>
      </c>
      <c r="Z82" s="373">
        <f t="shared" si="17"/>
        <v>0</v>
      </c>
      <c r="AA82" s="374">
        <f t="shared" si="18"/>
        <v>0</v>
      </c>
      <c r="AB82" s="374">
        <f>(Z82+AA82)*'Datos generales'!$D$16</f>
        <v>0</v>
      </c>
      <c r="AC82" s="657">
        <f t="shared" si="19"/>
        <v>0</v>
      </c>
      <c r="AD82" s="373">
        <f t="shared" si="20"/>
        <v>0</v>
      </c>
      <c r="AE82" s="374">
        <f t="shared" si="21"/>
        <v>0</v>
      </c>
      <c r="AF82" s="374">
        <f>(AD82+AE82)*'Datos generales'!$D$16</f>
        <v>0</v>
      </c>
      <c r="AG82" s="657">
        <f t="shared" si="22"/>
        <v>0</v>
      </c>
      <c r="AH82" s="373">
        <f t="shared" si="23"/>
        <v>0</v>
      </c>
      <c r="AI82" s="374">
        <f t="shared" si="24"/>
        <v>0</v>
      </c>
      <c r="AJ82" s="374">
        <f>(AH82+AI82)*'Datos generales'!$D$16</f>
        <v>0</v>
      </c>
    </row>
    <row r="83" spans="2:53" x14ac:dyDescent="0.2">
      <c r="J83" s="41"/>
      <c r="K83" s="41"/>
      <c r="L83" s="41"/>
      <c r="M83" s="41"/>
      <c r="N83" s="41"/>
      <c r="O83" s="44"/>
      <c r="P83" s="44"/>
      <c r="Q83" s="44"/>
      <c r="S83" s="41"/>
      <c r="T83" s="41"/>
      <c r="U83" s="41"/>
      <c r="V83" s="41"/>
      <c r="X83" s="44"/>
      <c r="Y83" s="44"/>
      <c r="Z83" s="44"/>
      <c r="AB83" s="41"/>
      <c r="AC83" s="41"/>
      <c r="AD83" s="41"/>
      <c r="AE83" s="41"/>
      <c r="AF83" s="41"/>
      <c r="AG83" s="44"/>
      <c r="AH83" s="44"/>
      <c r="AI83" s="44"/>
    </row>
    <row r="84" spans="2:53" x14ac:dyDescent="0.2">
      <c r="J84" s="41"/>
      <c r="K84" s="41"/>
      <c r="L84" s="41"/>
      <c r="M84" s="41"/>
      <c r="N84" s="41"/>
      <c r="O84" s="44"/>
      <c r="P84" s="44"/>
      <c r="Q84" s="44"/>
      <c r="S84" s="41"/>
      <c r="T84" s="41"/>
      <c r="U84" s="41"/>
      <c r="V84" s="41"/>
      <c r="X84" s="44"/>
      <c r="Y84" s="44"/>
      <c r="Z84" s="44"/>
      <c r="AB84" s="41"/>
      <c r="AC84" s="41"/>
      <c r="AD84" s="41"/>
      <c r="AE84" s="41"/>
      <c r="AF84" s="41"/>
      <c r="AG84" s="44"/>
      <c r="AH84" s="44"/>
      <c r="AI84" s="44"/>
    </row>
    <row r="85" spans="2:53" ht="15.75" x14ac:dyDescent="0.25">
      <c r="B85" s="138" t="s">
        <v>621</v>
      </c>
      <c r="J85" s="41"/>
      <c r="K85" s="41"/>
      <c r="L85" s="41"/>
      <c r="M85" s="41"/>
      <c r="N85" s="41"/>
      <c r="O85" s="44"/>
      <c r="P85" s="44"/>
      <c r="Q85" s="44"/>
      <c r="S85" s="41"/>
      <c r="T85" s="41"/>
      <c r="U85" s="41"/>
      <c r="V85" s="41"/>
      <c r="X85" s="44"/>
      <c r="Y85" s="44"/>
      <c r="Z85" s="44"/>
      <c r="AB85" s="41"/>
      <c r="AC85" s="41"/>
      <c r="AD85" s="41"/>
      <c r="AE85" s="41"/>
      <c r="AF85" s="41"/>
      <c r="AG85" s="44"/>
      <c r="AH85" s="44"/>
      <c r="AI85" s="44"/>
    </row>
    <row r="86" spans="2:53" ht="12.75" customHeight="1" x14ac:dyDescent="0.25">
      <c r="J86" s="41"/>
      <c r="K86" s="41"/>
      <c r="L86" s="41"/>
      <c r="M86" s="41"/>
      <c r="N86" s="41"/>
      <c r="O86" s="44"/>
      <c r="P86" s="44"/>
      <c r="Q86" s="44"/>
      <c r="S86" s="41"/>
      <c r="T86" s="41"/>
      <c r="U86" s="41"/>
      <c r="V86" s="41"/>
      <c r="W86" s="586"/>
      <c r="X86" s="44"/>
      <c r="Y86" s="44"/>
      <c r="Z86" s="44"/>
      <c r="AB86" s="41"/>
      <c r="AC86" s="41"/>
      <c r="AD86" s="41"/>
      <c r="AE86" s="41"/>
      <c r="AF86" s="41"/>
      <c r="AG86" s="44"/>
      <c r="AH86" s="44"/>
      <c r="AI86" s="44"/>
    </row>
    <row r="87" spans="2:53" ht="18.75" thickBot="1" x14ac:dyDescent="0.3">
      <c r="C87" s="28"/>
      <c r="D87" s="28"/>
      <c r="E87" s="28"/>
      <c r="F87" s="28"/>
      <c r="G87" s="28"/>
      <c r="H87" s="28"/>
      <c r="K87" s="2"/>
      <c r="L87" s="28"/>
      <c r="M87" s="28"/>
      <c r="N87" s="28"/>
      <c r="O87" s="28"/>
      <c r="P87" s="28"/>
      <c r="Q87" s="28"/>
      <c r="T87" s="2"/>
      <c r="U87" s="28"/>
      <c r="V87" s="28"/>
      <c r="W87" s="586"/>
      <c r="X87" s="28"/>
      <c r="Y87" s="28"/>
      <c r="Z87" s="28"/>
      <c r="AB87" s="41"/>
      <c r="AC87" s="62" t="str">
        <f>'Entrada Inver_Finan'!C114</f>
        <v>Leasing Maquinaria</v>
      </c>
      <c r="AF87" s="41"/>
      <c r="AG87" s="44"/>
      <c r="AH87" s="44"/>
      <c r="AI87" s="44"/>
      <c r="AL87" s="62" t="str">
        <f>'Entrada Inver_Finan'!C115</f>
        <v>Leasing Transporte</v>
      </c>
      <c r="AU87" s="62">
        <f>'Entrada Inver_Finan'!C116</f>
        <v>0</v>
      </c>
    </row>
    <row r="88" spans="2:53" ht="18.75" thickBot="1" x14ac:dyDescent="0.3">
      <c r="B88" s="1" t="str">
        <f>'Entrada Inver_Finan'!C109</f>
        <v>Préstamo de...( Entidad financiera A)</v>
      </c>
      <c r="F88" s="29"/>
      <c r="G88" s="28"/>
      <c r="H88" s="28"/>
      <c r="K88" s="2" t="str">
        <f>'Entrada Inver_Finan'!C110</f>
        <v>Préstamo de...( Entidad financiera B)</v>
      </c>
      <c r="O88" s="28"/>
      <c r="P88" s="28"/>
      <c r="Q88" s="28"/>
      <c r="T88" s="62">
        <f>'Entrada Inver_Finan'!C111</f>
        <v>0</v>
      </c>
      <c r="X88" s="28"/>
      <c r="Y88" s="28"/>
      <c r="Z88" s="28"/>
      <c r="AB88" s="41"/>
      <c r="AC88" s="388" t="s">
        <v>622</v>
      </c>
      <c r="AD88" s="389"/>
      <c r="AE88" s="390"/>
      <c r="AF88" s="41"/>
      <c r="AG88" s="44"/>
      <c r="AH88" s="44"/>
      <c r="AI88" s="44"/>
      <c r="AL88" s="388" t="s">
        <v>622</v>
      </c>
      <c r="AM88" s="389"/>
      <c r="AN88" s="390"/>
      <c r="AU88" s="388" t="s">
        <v>622</v>
      </c>
      <c r="AV88" s="389"/>
      <c r="AW88" s="390"/>
    </row>
    <row r="89" spans="2:53" x14ac:dyDescent="0.2">
      <c r="B89" s="388" t="s">
        <v>622</v>
      </c>
      <c r="C89" s="389"/>
      <c r="D89" s="390"/>
      <c r="F89" s="29"/>
      <c r="G89" s="29"/>
      <c r="H89" s="29"/>
      <c r="K89" s="388" t="s">
        <v>622</v>
      </c>
      <c r="L89" s="389"/>
      <c r="M89" s="390"/>
      <c r="T89" s="388" t="s">
        <v>622</v>
      </c>
      <c r="U89" s="389"/>
      <c r="V89" s="390"/>
      <c r="AB89" s="41"/>
      <c r="AC89" s="30" t="s">
        <v>623</v>
      </c>
      <c r="AE89" s="660">
        <f>'Entrada Inver_Finan'!D114</f>
        <v>0</v>
      </c>
      <c r="AF89" s="41"/>
      <c r="AL89" s="30" t="s">
        <v>623</v>
      </c>
      <c r="AN89" s="660">
        <f>'Entrada Inver_Finan'!D115</f>
        <v>0</v>
      </c>
      <c r="AO89" s="41"/>
      <c r="AP89" s="29"/>
      <c r="AQ89" s="29"/>
      <c r="AR89" s="29"/>
      <c r="AU89" s="30" t="s">
        <v>623</v>
      </c>
      <c r="AW89" s="660">
        <f>'Entrada Inver_Finan'!D116</f>
        <v>0</v>
      </c>
      <c r="AX89" s="41"/>
      <c r="AY89" s="29"/>
      <c r="AZ89" s="29"/>
      <c r="BA89" s="29"/>
    </row>
    <row r="90" spans="2:53" x14ac:dyDescent="0.2">
      <c r="B90" s="30" t="s">
        <v>624</v>
      </c>
      <c r="D90" s="33">
        <f>'Entrada Inver_Finan'!D109</f>
        <v>0</v>
      </c>
      <c r="F90" s="29"/>
      <c r="G90" s="29"/>
      <c r="H90" s="29"/>
      <c r="K90" s="30" t="s">
        <v>624</v>
      </c>
      <c r="M90" s="33">
        <f>'Entrada Inver_Finan'!D110</f>
        <v>0</v>
      </c>
      <c r="T90" s="30" t="s">
        <v>624</v>
      </c>
      <c r="V90" s="33">
        <f>'Entrada Inver_Finan'!D111</f>
        <v>0</v>
      </c>
      <c r="AB90" s="41"/>
      <c r="AC90" s="30" t="s">
        <v>625</v>
      </c>
      <c r="AE90" s="660">
        <f>'Entrada Inver_Finan'!J114</f>
        <v>0</v>
      </c>
      <c r="AF90" s="41"/>
      <c r="AL90" s="30" t="s">
        <v>625</v>
      </c>
      <c r="AN90" s="660">
        <f>'Entrada Inver_Finan'!J115</f>
        <v>0</v>
      </c>
      <c r="AO90" s="41"/>
      <c r="AP90" s="29"/>
      <c r="AQ90" s="29"/>
      <c r="AR90" s="29"/>
      <c r="AU90" s="30" t="s">
        <v>625</v>
      </c>
      <c r="AW90" s="660">
        <f>'Entrada Inver_Finan'!J116</f>
        <v>0</v>
      </c>
      <c r="AX90" s="41"/>
      <c r="AY90" s="29"/>
      <c r="AZ90" s="29"/>
      <c r="BA90" s="29"/>
    </row>
    <row r="91" spans="2:53" x14ac:dyDescent="0.2">
      <c r="B91" s="30" t="s">
        <v>239</v>
      </c>
      <c r="D91" s="807">
        <f>DATE(YEAR('Entrada Inver_Finan'!H109),MONTH('Entrada Inver_Finan'!H109),DAY(1))</f>
        <v>43831</v>
      </c>
      <c r="E91" s="1">
        <f>YEAR(D91)</f>
        <v>2020</v>
      </c>
      <c r="F91" s="29" t="str">
        <f>IF(D91=C26,"Inicial",IF(E91=D26,"año 1",IF(E91=D26+1,"año 2",0)))</f>
        <v>Inicial</v>
      </c>
      <c r="G91" s="29"/>
      <c r="H91" s="29"/>
      <c r="K91" s="30" t="s">
        <v>239</v>
      </c>
      <c r="M91" s="51">
        <f>DATE(YEAR('Entrada Inver_Finan'!H110),MONTH('Entrada Inver_Finan'!H110),DAY(1))</f>
        <v>43831</v>
      </c>
      <c r="N91" s="1">
        <f>YEAR(M91)</f>
        <v>2020</v>
      </c>
      <c r="T91" s="30" t="s">
        <v>239</v>
      </c>
      <c r="V91" s="51">
        <f>DATE(YEAR('Entrada Inver_Finan'!H111),MONTH('Entrada Inver_Finan'!H111),DAY(1))</f>
        <v>1</v>
      </c>
      <c r="W91" s="61">
        <f>YEAR(V91)</f>
        <v>1900</v>
      </c>
      <c r="AB91" s="41"/>
      <c r="AC91" s="30" t="s">
        <v>624</v>
      </c>
      <c r="AE91" s="660">
        <f>AE89-AE90</f>
        <v>0</v>
      </c>
      <c r="AF91" s="41"/>
      <c r="AL91" s="30" t="s">
        <v>624</v>
      </c>
      <c r="AN91" s="660">
        <f>AN89-AN90</f>
        <v>0</v>
      </c>
      <c r="AO91" s="41"/>
      <c r="AP91" s="29"/>
      <c r="AQ91" s="29"/>
      <c r="AR91" s="29"/>
      <c r="AU91" s="30" t="s">
        <v>624</v>
      </c>
      <c r="AW91" s="660">
        <f>AW89-AW90</f>
        <v>0</v>
      </c>
      <c r="AX91" s="41"/>
      <c r="AY91" s="29"/>
      <c r="AZ91" s="29"/>
      <c r="BA91" s="29"/>
    </row>
    <row r="92" spans="2:53" x14ac:dyDescent="0.2">
      <c r="B92" s="30" t="s">
        <v>626</v>
      </c>
      <c r="D92" s="33">
        <f>'Entrada Inver_Finan'!G109</f>
        <v>5</v>
      </c>
      <c r="F92" s="29"/>
      <c r="G92" s="29"/>
      <c r="H92" s="29"/>
      <c r="K92" s="30" t="s">
        <v>626</v>
      </c>
      <c r="M92" s="33">
        <f>'Entrada Inver_Finan'!G110</f>
        <v>5</v>
      </c>
      <c r="T92" s="30" t="s">
        <v>626</v>
      </c>
      <c r="V92" s="33">
        <f>'Entrada Inver_Finan'!G111</f>
        <v>5</v>
      </c>
      <c r="AB92" s="41"/>
      <c r="AC92" s="30" t="s">
        <v>239</v>
      </c>
      <c r="AE92" s="51">
        <f>DATE(YEAR('Entrada Inver_Finan'!H114),MONTH('Entrada Inver_Finan'!H114),DAY(1))</f>
        <v>43831</v>
      </c>
      <c r="AF92" s="1">
        <f>YEAR(AE92)</f>
        <v>2020</v>
      </c>
      <c r="AL92" s="30" t="s">
        <v>239</v>
      </c>
      <c r="AN92" s="51">
        <f>DATE(YEAR('Entrada Inver_Finan'!H115),MONTH('Entrada Inver_Finan'!H115),DAY(1))</f>
        <v>43831</v>
      </c>
      <c r="AO92" s="1">
        <f>YEAR(AN92)</f>
        <v>2020</v>
      </c>
      <c r="AP92" s="29"/>
      <c r="AQ92" s="29"/>
      <c r="AR92" s="29"/>
      <c r="AU92" s="30" t="s">
        <v>239</v>
      </c>
      <c r="AW92" s="51">
        <f>DATE(YEAR('Entrada Inver_Finan'!H116),MONTH('Entrada Inver_Finan'!H116),DAY(1))</f>
        <v>1</v>
      </c>
      <c r="AX92" s="1">
        <f>YEAR(AW92)</f>
        <v>1900</v>
      </c>
      <c r="AY92" s="29"/>
      <c r="AZ92" s="29"/>
      <c r="BA92" s="29"/>
    </row>
    <row r="93" spans="2:53" x14ac:dyDescent="0.2">
      <c r="B93" s="30" t="s">
        <v>627</v>
      </c>
      <c r="D93" s="50">
        <f>'Entrada Inver_Finan'!E109</f>
        <v>5</v>
      </c>
      <c r="F93" s="34"/>
      <c r="G93" s="29"/>
      <c r="H93" s="29"/>
      <c r="K93" s="30" t="s">
        <v>627</v>
      </c>
      <c r="M93" s="33">
        <f>'Entrada Inver_Finan'!E110</f>
        <v>5</v>
      </c>
      <c r="T93" s="30" t="s">
        <v>627</v>
      </c>
      <c r="V93" s="50">
        <f>'Entrada Inver_Finan'!E111</f>
        <v>0</v>
      </c>
      <c r="AB93" s="41"/>
      <c r="AC93" s="30" t="s">
        <v>626</v>
      </c>
      <c r="AE93" s="33">
        <f>'Entrada Inver_Finan'!G114</f>
        <v>6</v>
      </c>
      <c r="AF93" s="41"/>
      <c r="AL93" s="30" t="s">
        <v>626</v>
      </c>
      <c r="AN93" s="33">
        <f>'Entrada Inver_Finan'!G115</f>
        <v>5</v>
      </c>
      <c r="AO93" s="41"/>
      <c r="AP93" s="29"/>
      <c r="AQ93" s="29"/>
      <c r="AR93" s="29"/>
      <c r="AU93" s="30" t="s">
        <v>626</v>
      </c>
      <c r="AW93" s="33">
        <f>'Entrada Inver_Finan'!G116</f>
        <v>5</v>
      </c>
      <c r="AX93" s="41"/>
      <c r="AY93" s="29"/>
      <c r="AZ93" s="29"/>
      <c r="BA93" s="29"/>
    </row>
    <row r="94" spans="2:53" x14ac:dyDescent="0.2">
      <c r="B94" s="30" t="s">
        <v>628</v>
      </c>
      <c r="D94" s="50">
        <f>'Entrada Inver_Finan'!F109</f>
        <v>12</v>
      </c>
      <c r="F94" s="29"/>
      <c r="G94" s="34"/>
      <c r="H94" s="34"/>
      <c r="K94" s="30" t="s">
        <v>628</v>
      </c>
      <c r="M94" s="50">
        <f>'Entrada Inver_Finan'!F110</f>
        <v>12</v>
      </c>
      <c r="O94" s="34"/>
      <c r="P94" s="34"/>
      <c r="Q94" s="34"/>
      <c r="T94" s="30" t="s">
        <v>628</v>
      </c>
      <c r="V94" s="50">
        <f>'Entrada Inver_Finan'!F111</f>
        <v>0</v>
      </c>
      <c r="X94" s="34"/>
      <c r="Y94" s="34"/>
      <c r="Z94" s="34"/>
      <c r="AB94" s="41"/>
      <c r="AC94" s="30" t="s">
        <v>627</v>
      </c>
      <c r="AE94" s="50">
        <f>'Entrada Inver_Finan'!E114</f>
        <v>3</v>
      </c>
      <c r="AF94" s="41"/>
      <c r="AG94" s="34"/>
      <c r="AH94" s="34"/>
      <c r="AI94" s="34"/>
      <c r="AL94" s="30" t="s">
        <v>627</v>
      </c>
      <c r="AN94" s="50">
        <f>'Entrada Inver_Finan'!E115</f>
        <v>3</v>
      </c>
      <c r="AO94" s="41"/>
      <c r="AP94" s="34"/>
      <c r="AQ94" s="34"/>
      <c r="AR94" s="34"/>
      <c r="AU94" s="30" t="s">
        <v>627</v>
      </c>
      <c r="AW94" s="50">
        <f>'Entrada Inver_Finan'!E116</f>
        <v>0</v>
      </c>
      <c r="AX94" s="41"/>
      <c r="AY94" s="34"/>
      <c r="AZ94" s="34"/>
      <c r="BA94" s="34"/>
    </row>
    <row r="95" spans="2:53" x14ac:dyDescent="0.2">
      <c r="B95" s="30" t="s">
        <v>629</v>
      </c>
      <c r="D95" s="660">
        <f>'Entrada Inver_Finan'!J109</f>
        <v>0</v>
      </c>
      <c r="G95" s="29"/>
      <c r="H95" s="29"/>
      <c r="K95" s="30" t="s">
        <v>629</v>
      </c>
      <c r="M95" s="660">
        <f>'Entrada Inver_Finan'!J110</f>
        <v>0</v>
      </c>
      <c r="T95" s="30" t="s">
        <v>629</v>
      </c>
      <c r="V95" s="660">
        <f>'Entrada Inver_Finan'!J111</f>
        <v>0</v>
      </c>
      <c r="AB95" s="41"/>
      <c r="AC95" s="30" t="s">
        <v>628</v>
      </c>
      <c r="AE95" s="50">
        <f>'Entrada Inver_Finan'!F114</f>
        <v>12</v>
      </c>
      <c r="AF95" s="41"/>
      <c r="AL95" s="30" t="s">
        <v>628</v>
      </c>
      <c r="AN95" s="50">
        <f>'Entrada Inver_Finan'!F115</f>
        <v>12</v>
      </c>
      <c r="AO95" s="41"/>
      <c r="AP95" s="29"/>
      <c r="AQ95" s="29"/>
      <c r="AR95" s="29"/>
      <c r="AU95" s="30" t="s">
        <v>628</v>
      </c>
      <c r="AW95" s="50">
        <f>'Entrada Inver_Finan'!F116</f>
        <v>0</v>
      </c>
      <c r="AX95" s="41"/>
      <c r="AY95" s="29"/>
      <c r="AZ95" s="29"/>
      <c r="BA95" s="29"/>
    </row>
    <row r="96" spans="2:53" x14ac:dyDescent="0.2">
      <c r="B96" s="30" t="s">
        <v>630</v>
      </c>
      <c r="D96" s="51">
        <f>DATE(YEAR('Entrada Inver_Finan'!I109),MONTH('Entrada Inver_Finan'!I109),DAY(1))</f>
        <v>43831</v>
      </c>
      <c r="E96" s="110"/>
      <c r="F96" s="29"/>
      <c r="G96" s="29"/>
      <c r="H96" s="29"/>
      <c r="K96" s="30" t="s">
        <v>630</v>
      </c>
      <c r="M96" s="51">
        <f>DATE(YEAR('Entrada Inver_Finan'!I110),MONTH('Entrada Inver_Finan'!I110),DAY(1))</f>
        <v>43831</v>
      </c>
      <c r="T96" s="30" t="s">
        <v>630</v>
      </c>
      <c r="V96" s="51">
        <f>DATE(YEAR('Entrada Inver_Finan'!I111),MONTH('Entrada Inver_Finan'!I111),DAY(1))</f>
        <v>1</v>
      </c>
      <c r="AB96" s="41"/>
      <c r="AC96" s="30" t="s">
        <v>630</v>
      </c>
      <c r="AE96" s="51">
        <f>DATE(YEAR('Entrada Inver_Finan'!I114),MONTH('Entrada Inver_Finan'!I114),DAY(1))</f>
        <v>43831</v>
      </c>
      <c r="AF96" s="41"/>
      <c r="AL96" s="30" t="s">
        <v>630</v>
      </c>
      <c r="AN96" s="51">
        <f>DATE(YEAR('Entrada Inver_Finan'!I115),MONTH('Entrada Inver_Finan'!I115),DAY(1))</f>
        <v>43831</v>
      </c>
      <c r="AO96" s="41"/>
      <c r="AP96" s="29"/>
      <c r="AQ96" s="29"/>
      <c r="AR96" s="29"/>
      <c r="AU96" s="30" t="s">
        <v>630</v>
      </c>
      <c r="AW96" s="51">
        <f>DATE(YEAR('Entrada Inver_Finan'!I116),MONTH('Entrada Inver_Finan'!I116),DAY(1))</f>
        <v>1</v>
      </c>
      <c r="AX96" s="41"/>
      <c r="AY96" s="29"/>
      <c r="AZ96" s="29"/>
      <c r="BA96" s="29"/>
    </row>
    <row r="97" spans="1:54" ht="15" customHeight="1" x14ac:dyDescent="0.2">
      <c r="B97" s="30" t="s">
        <v>631</v>
      </c>
      <c r="D97" s="50">
        <f>D93*D94</f>
        <v>60</v>
      </c>
      <c r="F97" s="29"/>
      <c r="G97" s="29"/>
      <c r="H97" s="29"/>
      <c r="K97" s="30" t="s">
        <v>631</v>
      </c>
      <c r="M97" s="50">
        <f>M93*M94</f>
        <v>60</v>
      </c>
      <c r="T97" s="30" t="s">
        <v>631</v>
      </c>
      <c r="V97" s="50">
        <f>V93*V94</f>
        <v>0</v>
      </c>
      <c r="AB97" s="41"/>
      <c r="AC97" s="30" t="s">
        <v>631</v>
      </c>
      <c r="AE97" s="50">
        <f>AE94*AE95</f>
        <v>36</v>
      </c>
      <c r="AF97" s="41"/>
      <c r="AL97" s="30" t="s">
        <v>631</v>
      </c>
      <c r="AN97" s="50">
        <f>AN94*AN95</f>
        <v>36</v>
      </c>
      <c r="AO97" s="41"/>
      <c r="AP97" s="29"/>
      <c r="AQ97" s="29"/>
      <c r="AR97" s="29"/>
      <c r="AU97" s="30" t="s">
        <v>631</v>
      </c>
      <c r="AW97" s="50">
        <f>AW94*AW95</f>
        <v>0</v>
      </c>
      <c r="AX97" s="41"/>
      <c r="AY97" s="29"/>
      <c r="AZ97" s="29"/>
      <c r="BA97" s="29"/>
    </row>
    <row r="98" spans="1:54" ht="12.75" customHeight="1" x14ac:dyDescent="0.2">
      <c r="B98" s="1404" t="s">
        <v>632</v>
      </c>
      <c r="C98" s="1405"/>
      <c r="D98" s="1403">
        <f>D92/1200</f>
        <v>4.1666666666666666E-3</v>
      </c>
      <c r="F98" s="29"/>
      <c r="G98" s="29"/>
      <c r="H98" s="29"/>
      <c r="K98" s="1404" t="s">
        <v>633</v>
      </c>
      <c r="L98" s="1405"/>
      <c r="M98" s="1403">
        <f>M92/1200</f>
        <v>4.1666666666666666E-3</v>
      </c>
      <c r="T98" s="1404" t="s">
        <v>633</v>
      </c>
      <c r="U98" s="1405"/>
      <c r="V98" s="1403">
        <f>V92/1200</f>
        <v>4.1666666666666666E-3</v>
      </c>
      <c r="AB98" s="41"/>
      <c r="AC98" s="1404" t="s">
        <v>633</v>
      </c>
      <c r="AD98" s="1405"/>
      <c r="AE98" s="1403">
        <f>AE93/1200</f>
        <v>5.0000000000000001E-3</v>
      </c>
      <c r="AF98" s="41"/>
      <c r="AL98" s="1404" t="s">
        <v>633</v>
      </c>
      <c r="AM98" s="1405"/>
      <c r="AN98" s="1403">
        <f>AN93/1200</f>
        <v>4.1666666666666666E-3</v>
      </c>
      <c r="AO98" s="41"/>
      <c r="AP98" s="29"/>
      <c r="AQ98" s="29"/>
      <c r="AR98" s="29"/>
      <c r="AU98" s="1404" t="s">
        <v>633</v>
      </c>
      <c r="AV98" s="1405"/>
      <c r="AW98" s="1403">
        <f>AW93/1200</f>
        <v>4.1666666666666666E-3</v>
      </c>
      <c r="AX98" s="41"/>
      <c r="AY98" s="29"/>
      <c r="AZ98" s="29"/>
      <c r="BA98" s="29"/>
    </row>
    <row r="99" spans="1:54" x14ac:dyDescent="0.2">
      <c r="B99" s="1404"/>
      <c r="C99" s="1405"/>
      <c r="D99" s="1403"/>
      <c r="F99" s="29"/>
      <c r="G99" s="29"/>
      <c r="H99" s="29"/>
      <c r="K99" s="1404"/>
      <c r="L99" s="1405"/>
      <c r="M99" s="1403"/>
      <c r="T99" s="1404"/>
      <c r="U99" s="1405"/>
      <c r="V99" s="1403"/>
      <c r="AB99" s="41"/>
      <c r="AC99" s="1404"/>
      <c r="AD99" s="1405"/>
      <c r="AE99" s="1403"/>
      <c r="AF99" s="41"/>
      <c r="AL99" s="1404"/>
      <c r="AM99" s="1405"/>
      <c r="AN99" s="1403"/>
      <c r="AO99" s="41"/>
      <c r="AP99" s="29"/>
      <c r="AQ99" s="29"/>
      <c r="AR99" s="29"/>
      <c r="AU99" s="1404"/>
      <c r="AV99" s="1405"/>
      <c r="AW99" s="1403"/>
      <c r="AX99" s="41"/>
      <c r="AY99" s="29"/>
      <c r="AZ99" s="29"/>
      <c r="BA99" s="29"/>
    </row>
    <row r="100" spans="1:54" x14ac:dyDescent="0.2">
      <c r="B100" s="30" t="s">
        <v>634</v>
      </c>
      <c r="D100" s="33">
        <f>IF(D90=0,0,(1-(1+D98)^-(D97-D95))/D98)</f>
        <v>0</v>
      </c>
      <c r="F100" s="29"/>
      <c r="G100" s="29"/>
      <c r="H100" s="29"/>
      <c r="K100" s="30" t="s">
        <v>634</v>
      </c>
      <c r="M100" s="33">
        <f>IF(M90=0,0,(1-(1+M98)^-(M97-M95))/M98)</f>
        <v>0</v>
      </c>
      <c r="T100" s="30" t="s">
        <v>634</v>
      </c>
      <c r="V100" s="33">
        <f>IF(V90=0,0,(1-(1+V98)^-(V97-V95))/V98+IF(V90=0,0))</f>
        <v>0</v>
      </c>
      <c r="AB100" s="41"/>
      <c r="AC100" s="30" t="s">
        <v>634</v>
      </c>
      <c r="AE100" s="33">
        <f>IF(AE91=0,0,(1-(1+AE98)^-AE97)/AE98+IF(AE91=0,0))</f>
        <v>0</v>
      </c>
      <c r="AF100" s="41"/>
      <c r="AL100" s="30" t="s">
        <v>634</v>
      </c>
      <c r="AN100" s="33">
        <f>IF(AN91=0,0,(1-(1+AN98)^-AN97)/AN98+IF(AN91=0,0))</f>
        <v>0</v>
      </c>
      <c r="AO100" s="41"/>
      <c r="AP100" s="29"/>
      <c r="AQ100" s="29"/>
      <c r="AR100" s="29"/>
      <c r="AU100" s="30" t="s">
        <v>634</v>
      </c>
      <c r="AW100" s="33">
        <f>IF(AW91=0,0,(1-(1+AW98)^-AW97)/AW98+IF(AW91=0,0))</f>
        <v>0</v>
      </c>
      <c r="AX100" s="41"/>
      <c r="AY100" s="29"/>
      <c r="AZ100" s="29"/>
      <c r="BA100" s="29"/>
    </row>
    <row r="101" spans="1:54" x14ac:dyDescent="0.2">
      <c r="A101" s="32"/>
      <c r="B101" s="409" t="s">
        <v>635</v>
      </c>
      <c r="C101" s="297"/>
      <c r="D101" s="410">
        <f>IF(D90=0,0,D90/D100)</f>
        <v>0</v>
      </c>
      <c r="F101" s="29"/>
      <c r="G101" s="29"/>
      <c r="H101" s="29"/>
      <c r="J101" s="32"/>
      <c r="K101" s="409" t="s">
        <v>635</v>
      </c>
      <c r="L101" s="297"/>
      <c r="M101" s="410">
        <f>IF(M90=0,0,M90/M100)</f>
        <v>0</v>
      </c>
      <c r="S101" s="32"/>
      <c r="T101" s="409" t="s">
        <v>635</v>
      </c>
      <c r="U101" s="297"/>
      <c r="V101" s="410">
        <f>IF(V90=0,0,V90/V100)</f>
        <v>0</v>
      </c>
      <c r="AB101" s="41"/>
      <c r="AC101" s="583" t="s">
        <v>636</v>
      </c>
      <c r="AD101" s="297"/>
      <c r="AE101" s="410">
        <f>IF(AE91=0,0,AE91/AE100)</f>
        <v>0</v>
      </c>
      <c r="AF101" s="41"/>
      <c r="AL101" s="409" t="s">
        <v>636</v>
      </c>
      <c r="AM101" s="297"/>
      <c r="AN101" s="410">
        <f>IF(AN91=0,0,AN91/AN100)</f>
        <v>0</v>
      </c>
      <c r="AO101" s="41"/>
      <c r="AP101" s="29"/>
      <c r="AQ101" s="29"/>
      <c r="AR101" s="29"/>
      <c r="AU101" s="409" t="s">
        <v>635</v>
      </c>
      <c r="AV101" s="297"/>
      <c r="AW101" s="410">
        <f>IF(AW91=0,0,AW91/AW100)</f>
        <v>0</v>
      </c>
      <c r="AX101" s="41"/>
      <c r="AY101" s="29"/>
      <c r="AZ101" s="29"/>
      <c r="BA101" s="29"/>
    </row>
    <row r="102" spans="1:54" x14ac:dyDescent="0.2">
      <c r="B102" s="30" t="s">
        <v>637</v>
      </c>
      <c r="D102" s="33">
        <f>'Entrada Inver_Finan'!K109</f>
        <v>0</v>
      </c>
      <c r="F102" s="29"/>
      <c r="G102" s="29"/>
      <c r="H102" s="29"/>
      <c r="K102" s="30" t="s">
        <v>637</v>
      </c>
      <c r="M102" s="33">
        <f>'Entrada Inver_Finan'!K110</f>
        <v>0</v>
      </c>
      <c r="T102" s="30" t="s">
        <v>637</v>
      </c>
      <c r="V102" s="33">
        <f>'Entrada Inver_Finan'!K111</f>
        <v>0</v>
      </c>
      <c r="AB102" s="41"/>
      <c r="AC102" s="30" t="s">
        <v>638</v>
      </c>
      <c r="AE102" s="33">
        <f>(AE91*AE93*1)/1200</f>
        <v>0</v>
      </c>
      <c r="AF102" s="41"/>
      <c r="AL102" s="30" t="s">
        <v>638</v>
      </c>
      <c r="AN102" s="33">
        <f>(AN91*AN93*1)/1200</f>
        <v>0</v>
      </c>
      <c r="AO102" s="41"/>
      <c r="AP102" s="29"/>
      <c r="AQ102" s="29"/>
      <c r="AR102" s="29"/>
      <c r="AU102" s="30" t="s">
        <v>638</v>
      </c>
      <c r="AW102" s="33">
        <f>(AW91*AW93*1)/1200</f>
        <v>0</v>
      </c>
      <c r="AX102" s="41"/>
      <c r="AY102" s="29"/>
      <c r="AZ102" s="29"/>
      <c r="BA102" s="29"/>
    </row>
    <row r="103" spans="1:54" x14ac:dyDescent="0.2">
      <c r="B103" s="30" t="s">
        <v>638</v>
      </c>
      <c r="D103" s="33">
        <f>(D90*D92*1)/1200</f>
        <v>0</v>
      </c>
      <c r="F103" s="29"/>
      <c r="G103" s="29"/>
      <c r="H103" s="29"/>
      <c r="K103" s="30" t="s">
        <v>638</v>
      </c>
      <c r="M103" s="33">
        <f>(M90*M92*1)/1200</f>
        <v>0</v>
      </c>
      <c r="T103" s="30" t="s">
        <v>638</v>
      </c>
      <c r="V103" s="33">
        <f>(V90*V92*1)/1200</f>
        <v>0</v>
      </c>
      <c r="AB103" s="41"/>
      <c r="AC103" s="30" t="s">
        <v>639</v>
      </c>
      <c r="AE103" s="33">
        <f>AE101-AE102</f>
        <v>0</v>
      </c>
      <c r="AF103" s="41"/>
      <c r="AL103" s="30" t="s">
        <v>639</v>
      </c>
      <c r="AN103" s="33">
        <f>AN101-AN102</f>
        <v>0</v>
      </c>
      <c r="AO103" s="41"/>
      <c r="AP103" s="29"/>
      <c r="AQ103" s="29"/>
      <c r="AR103" s="29"/>
      <c r="AU103" s="30" t="s">
        <v>639</v>
      </c>
      <c r="AW103" s="33">
        <f>AW101-AW102</f>
        <v>0</v>
      </c>
      <c r="AX103" s="41"/>
      <c r="AY103" s="29"/>
      <c r="AZ103" s="29"/>
      <c r="BA103" s="29"/>
    </row>
    <row r="104" spans="1:54" ht="13.5" thickBot="1" x14ac:dyDescent="0.25">
      <c r="B104" s="31" t="s">
        <v>639</v>
      </c>
      <c r="C104" s="224"/>
      <c r="D104" s="52">
        <f>D101-D103</f>
        <v>0</v>
      </c>
      <c r="F104" s="29"/>
      <c r="G104" s="29"/>
      <c r="H104" s="29"/>
      <c r="K104" s="31" t="s">
        <v>639</v>
      </c>
      <c r="L104" s="224"/>
      <c r="M104" s="52">
        <f>M101-M103</f>
        <v>0</v>
      </c>
      <c r="T104" s="31" t="s">
        <v>639</v>
      </c>
      <c r="U104" s="224"/>
      <c r="V104" s="52">
        <f>V101-V103</f>
        <v>0</v>
      </c>
      <c r="AB104" s="41"/>
      <c r="AC104" s="30" t="s">
        <v>593</v>
      </c>
      <c r="AE104" s="33">
        <f>'Datos generales'!$D$19*AE101</f>
        <v>0</v>
      </c>
      <c r="AF104" s="41"/>
      <c r="AL104" s="30" t="s">
        <v>593</v>
      </c>
      <c r="AN104" s="33">
        <f>'Datos generales'!$D$19*AN101</f>
        <v>0</v>
      </c>
      <c r="AO104" s="41"/>
      <c r="AP104" s="29"/>
      <c r="AQ104" s="29"/>
      <c r="AR104" s="29"/>
      <c r="AU104" s="30" t="s">
        <v>593</v>
      </c>
      <c r="AW104" s="33">
        <f>'Datos generales'!$D$19*AW101</f>
        <v>0</v>
      </c>
      <c r="AX104" s="41"/>
      <c r="AY104" s="29"/>
      <c r="AZ104" s="29"/>
      <c r="BA104" s="29"/>
    </row>
    <row r="105" spans="1:54" ht="13.5" thickBot="1" x14ac:dyDescent="0.25">
      <c r="B105"/>
      <c r="D105" s="29"/>
      <c r="F105" s="29"/>
      <c r="G105" s="29"/>
      <c r="H105" s="29"/>
      <c r="M105" s="29"/>
      <c r="V105" s="29"/>
      <c r="AB105" s="41"/>
      <c r="AC105" s="584" t="s">
        <v>640</v>
      </c>
      <c r="AD105" s="582"/>
      <c r="AE105" s="585">
        <f>AE101+AE104</f>
        <v>0</v>
      </c>
      <c r="AF105" s="41"/>
      <c r="AL105" s="584" t="s">
        <v>640</v>
      </c>
      <c r="AM105" s="582"/>
      <c r="AN105" s="585">
        <f>AN101+AN104</f>
        <v>0</v>
      </c>
      <c r="AO105" s="41"/>
      <c r="AP105" s="29"/>
      <c r="AQ105" s="29"/>
      <c r="AR105" s="29"/>
      <c r="AU105" s="584" t="s">
        <v>640</v>
      </c>
      <c r="AV105" s="582"/>
      <c r="AW105" s="585">
        <f>AW101+AW104</f>
        <v>0</v>
      </c>
      <c r="AX105" s="41"/>
      <c r="AY105" s="29"/>
      <c r="AZ105" s="29"/>
      <c r="BA105" s="29"/>
    </row>
    <row r="106" spans="1:54" ht="13.5" thickBot="1" x14ac:dyDescent="0.25">
      <c r="B106"/>
      <c r="D106" s="29"/>
      <c r="F106" s="29"/>
      <c r="G106" s="29"/>
      <c r="H106" s="29"/>
      <c r="M106" s="29"/>
      <c r="V106" s="29"/>
      <c r="AB106" s="41"/>
      <c r="AE106" s="29"/>
      <c r="AF106" s="41"/>
      <c r="AN106" s="29"/>
      <c r="AO106" s="41"/>
      <c r="AP106" s="29"/>
      <c r="AQ106" s="29"/>
      <c r="AR106" s="29"/>
      <c r="AW106" s="29"/>
      <c r="AX106" s="41"/>
      <c r="AY106" s="29"/>
      <c r="AZ106" s="29"/>
      <c r="BA106" s="29"/>
    </row>
    <row r="107" spans="1:54" ht="13.5" customHeight="1" thickTop="1" x14ac:dyDescent="0.2">
      <c r="B107" s="1391" t="s">
        <v>641</v>
      </c>
      <c r="C107" s="1391" t="s">
        <v>642</v>
      </c>
      <c r="D107" s="1391" t="s">
        <v>643</v>
      </c>
      <c r="E107" s="1391" t="s">
        <v>591</v>
      </c>
      <c r="F107" s="1391" t="s">
        <v>644</v>
      </c>
      <c r="G107" s="1391" t="s">
        <v>645</v>
      </c>
      <c r="H107" s="1400" t="s">
        <v>646</v>
      </c>
      <c r="I107" s="1394" t="s">
        <v>647</v>
      </c>
      <c r="K107" s="1391" t="s">
        <v>641</v>
      </c>
      <c r="L107" s="1391" t="s">
        <v>642</v>
      </c>
      <c r="M107" s="1391" t="s">
        <v>643</v>
      </c>
      <c r="N107" s="1391" t="s">
        <v>591</v>
      </c>
      <c r="O107" s="1391" t="s">
        <v>644</v>
      </c>
      <c r="P107" s="1391" t="s">
        <v>645</v>
      </c>
      <c r="Q107" s="1400" t="s">
        <v>646</v>
      </c>
      <c r="R107" s="1394" t="s">
        <v>647</v>
      </c>
      <c r="T107" s="1391" t="s">
        <v>641</v>
      </c>
      <c r="U107" s="1391" t="s">
        <v>642</v>
      </c>
      <c r="V107" s="1391" t="s">
        <v>643</v>
      </c>
      <c r="W107" s="1397" t="s">
        <v>591</v>
      </c>
      <c r="X107" s="1391" t="s">
        <v>644</v>
      </c>
      <c r="Y107" s="1391" t="s">
        <v>645</v>
      </c>
      <c r="Z107" s="1400" t="s">
        <v>646</v>
      </c>
      <c r="AA107" s="1394" t="s">
        <v>647</v>
      </c>
      <c r="AB107" s="41"/>
      <c r="AC107" s="1406" t="s">
        <v>641</v>
      </c>
      <c r="AD107" s="1391" t="s">
        <v>642</v>
      </c>
      <c r="AE107" s="1391" t="s">
        <v>643</v>
      </c>
      <c r="AF107" s="1391" t="s">
        <v>591</v>
      </c>
      <c r="AG107" s="1391" t="s">
        <v>644</v>
      </c>
      <c r="AH107" s="1391" t="s">
        <v>645</v>
      </c>
      <c r="AI107" s="1400" t="s">
        <v>646</v>
      </c>
      <c r="AJ107" s="1394" t="s">
        <v>647</v>
      </c>
      <c r="AL107" s="1406" t="s">
        <v>641</v>
      </c>
      <c r="AM107" s="1391" t="s">
        <v>642</v>
      </c>
      <c r="AN107" s="1391" t="s">
        <v>643</v>
      </c>
      <c r="AO107" s="1391" t="s">
        <v>591</v>
      </c>
      <c r="AP107" s="1391" t="s">
        <v>644</v>
      </c>
      <c r="AQ107" s="1391" t="s">
        <v>645</v>
      </c>
      <c r="AR107" s="1400" t="s">
        <v>646</v>
      </c>
      <c r="AS107" s="1394" t="s">
        <v>647</v>
      </c>
      <c r="AU107" s="1406" t="s">
        <v>641</v>
      </c>
      <c r="AV107" s="1391" t="s">
        <v>642</v>
      </c>
      <c r="AW107" s="1391" t="s">
        <v>643</v>
      </c>
      <c r="AX107" s="1391" t="s">
        <v>591</v>
      </c>
      <c r="AY107" s="1391" t="s">
        <v>644</v>
      </c>
      <c r="AZ107" s="1391" t="s">
        <v>645</v>
      </c>
      <c r="BA107" s="1400" t="s">
        <v>646</v>
      </c>
      <c r="BB107" s="1394" t="s">
        <v>647</v>
      </c>
    </row>
    <row r="108" spans="1:54" ht="13.5" customHeight="1" x14ac:dyDescent="0.2">
      <c r="B108" s="1392"/>
      <c r="C108" s="1392"/>
      <c r="D108" s="1392"/>
      <c r="E108" s="1392"/>
      <c r="F108" s="1392"/>
      <c r="G108" s="1392"/>
      <c r="H108" s="1401"/>
      <c r="I108" s="1395"/>
      <c r="K108" s="1392"/>
      <c r="L108" s="1392"/>
      <c r="M108" s="1392"/>
      <c r="N108" s="1392"/>
      <c r="O108" s="1392"/>
      <c r="P108" s="1392"/>
      <c r="Q108" s="1401"/>
      <c r="R108" s="1395"/>
      <c r="T108" s="1392"/>
      <c r="U108" s="1392"/>
      <c r="V108" s="1392"/>
      <c r="W108" s="1398"/>
      <c r="X108" s="1392"/>
      <c r="Y108" s="1392"/>
      <c r="Z108" s="1401"/>
      <c r="AA108" s="1395"/>
      <c r="AB108" s="41"/>
      <c r="AC108" s="1407"/>
      <c r="AD108" s="1392"/>
      <c r="AE108" s="1392"/>
      <c r="AF108" s="1392"/>
      <c r="AG108" s="1392"/>
      <c r="AH108" s="1392"/>
      <c r="AI108" s="1401"/>
      <c r="AJ108" s="1395"/>
      <c r="AL108" s="1407"/>
      <c r="AM108" s="1392"/>
      <c r="AN108" s="1392"/>
      <c r="AO108" s="1392"/>
      <c r="AP108" s="1392"/>
      <c r="AQ108" s="1392"/>
      <c r="AR108" s="1401"/>
      <c r="AS108" s="1395"/>
      <c r="AU108" s="1407"/>
      <c r="AV108" s="1392"/>
      <c r="AW108" s="1392"/>
      <c r="AX108" s="1392"/>
      <c r="AY108" s="1392"/>
      <c r="AZ108" s="1392"/>
      <c r="BA108" s="1401"/>
      <c r="BB108" s="1395"/>
    </row>
    <row r="109" spans="1:54" ht="13.5" thickBot="1" x14ac:dyDescent="0.25">
      <c r="B109" s="1393"/>
      <c r="C109" s="1393"/>
      <c r="D109" s="1393"/>
      <c r="E109" s="1393"/>
      <c r="F109" s="1393"/>
      <c r="G109" s="1393"/>
      <c r="H109" s="1402"/>
      <c r="I109" s="1396"/>
      <c r="K109" s="1393"/>
      <c r="L109" s="1393"/>
      <c r="M109" s="1393"/>
      <c r="N109" s="1393"/>
      <c r="O109" s="1393"/>
      <c r="P109" s="1393"/>
      <c r="Q109" s="1402"/>
      <c r="R109" s="1396"/>
      <c r="T109" s="1393"/>
      <c r="U109" s="1393"/>
      <c r="V109" s="1393"/>
      <c r="W109" s="1399"/>
      <c r="X109" s="1393"/>
      <c r="Y109" s="1393"/>
      <c r="Z109" s="1402"/>
      <c r="AA109" s="1396"/>
      <c r="AB109" s="41"/>
      <c r="AC109" s="1408"/>
      <c r="AD109" s="1393"/>
      <c r="AE109" s="1393"/>
      <c r="AF109" s="1393"/>
      <c r="AG109" s="1393"/>
      <c r="AH109" s="1393"/>
      <c r="AI109" s="1402"/>
      <c r="AJ109" s="1396"/>
      <c r="AL109" s="1408"/>
      <c r="AM109" s="1393"/>
      <c r="AN109" s="1393"/>
      <c r="AO109" s="1393"/>
      <c r="AP109" s="1393"/>
      <c r="AQ109" s="1393"/>
      <c r="AR109" s="1402"/>
      <c r="AS109" s="1396"/>
      <c r="AU109" s="1408"/>
      <c r="AV109" s="1393"/>
      <c r="AW109" s="1393"/>
      <c r="AX109" s="1393"/>
      <c r="AY109" s="1393"/>
      <c r="AZ109" s="1393"/>
      <c r="BA109" s="1402"/>
      <c r="BB109" s="1396"/>
    </row>
    <row r="110" spans="1:54" ht="13.5" thickTop="1" x14ac:dyDescent="0.2">
      <c r="B110" s="64">
        <v>1</v>
      </c>
      <c r="C110" s="46">
        <f>D96</f>
        <v>43831</v>
      </c>
      <c r="D110" s="47">
        <f>D90</f>
        <v>0</v>
      </c>
      <c r="E110" s="47">
        <f t="shared" ref="E110:E141" si="34">(D110*$D$92*1)/1200</f>
        <v>0</v>
      </c>
      <c r="F110" s="47">
        <f>IF(AND(B110&lt;=$D$97,B110&gt;$D$95),$D$101-E110,0)</f>
        <v>0</v>
      </c>
      <c r="G110" s="47">
        <f>D110-F110</f>
        <v>0</v>
      </c>
      <c r="H110" s="47">
        <f t="shared" ref="H110:H141" si="35">IF(B110&lt;=$D$97,E110+H109,0)</f>
        <v>0</v>
      </c>
      <c r="I110" s="49">
        <f t="shared" ref="I110:I141" si="36">IF(B110&lt;=$D$97,F110+I109,0)</f>
        <v>0</v>
      </c>
      <c r="K110" s="45">
        <v>1</v>
      </c>
      <c r="L110" s="46">
        <f>M96</f>
        <v>43831</v>
      </c>
      <c r="M110" s="47">
        <f>M90</f>
        <v>0</v>
      </c>
      <c r="N110" s="47">
        <f t="shared" ref="N110:N141" si="37">(M110*$M$92*1)/1200</f>
        <v>0</v>
      </c>
      <c r="O110" s="47">
        <f>IF(AND(K110&lt;=$M$97,K110&gt;$M$95),$M$101-N110,0)</f>
        <v>0</v>
      </c>
      <c r="P110" s="47">
        <f>M110-O110</f>
        <v>0</v>
      </c>
      <c r="Q110" s="47">
        <f>N110</f>
        <v>0</v>
      </c>
      <c r="R110" s="49">
        <f>O110</f>
        <v>0</v>
      </c>
      <c r="T110" s="45">
        <v>1</v>
      </c>
      <c r="U110" s="46">
        <f>V96</f>
        <v>1</v>
      </c>
      <c r="V110" s="47">
        <f>V90</f>
        <v>0</v>
      </c>
      <c r="W110" s="47">
        <f t="shared" ref="W110:W141" si="38">(V110*$V$92*1)/1200</f>
        <v>0</v>
      </c>
      <c r="X110" s="37">
        <f>IF(AND(T110&lt;=$V$97,T110&gt;$V$95),$V$101-W110,0)</f>
        <v>0</v>
      </c>
      <c r="Y110" s="47">
        <f>V110-X110</f>
        <v>0</v>
      </c>
      <c r="Z110" s="47">
        <f>W110</f>
        <v>0</v>
      </c>
      <c r="AA110" s="49">
        <f>X110</f>
        <v>0</v>
      </c>
      <c r="AB110" s="41"/>
      <c r="AC110" s="45">
        <v>1</v>
      </c>
      <c r="AD110" s="46">
        <f>AE96</f>
        <v>43831</v>
      </c>
      <c r="AE110" s="47">
        <f>AE91</f>
        <v>0</v>
      </c>
      <c r="AF110" s="47">
        <f>(AE110*$AE$93*1)/1200</f>
        <v>0</v>
      </c>
      <c r="AG110" s="48">
        <f>$AE$101-AF110</f>
        <v>0</v>
      </c>
      <c r="AH110" s="47">
        <f>AE110-AG110</f>
        <v>0</v>
      </c>
      <c r="AI110" s="47">
        <f>AF110</f>
        <v>0</v>
      </c>
      <c r="AJ110" s="49">
        <f>AG110</f>
        <v>0</v>
      </c>
      <c r="AL110" s="45">
        <v>1</v>
      </c>
      <c r="AM110" s="46">
        <f>AN96</f>
        <v>43831</v>
      </c>
      <c r="AN110" s="47">
        <f>AN91</f>
        <v>0</v>
      </c>
      <c r="AO110" s="47">
        <f>(AN110*$AN$93*1)/1200</f>
        <v>0</v>
      </c>
      <c r="AP110" s="48">
        <f>$AN$101-AO110</f>
        <v>0</v>
      </c>
      <c r="AQ110" s="47">
        <f>AN110-AP110</f>
        <v>0</v>
      </c>
      <c r="AR110" s="47">
        <f>AO110</f>
        <v>0</v>
      </c>
      <c r="AS110" s="49">
        <f>AP110</f>
        <v>0</v>
      </c>
      <c r="AU110" s="45">
        <v>1</v>
      </c>
      <c r="AV110" s="46">
        <f>AW96</f>
        <v>1</v>
      </c>
      <c r="AW110" s="47">
        <f>AW91</f>
        <v>0</v>
      </c>
      <c r="AX110" s="47">
        <f>(AW110*$AW$93*1)/1200</f>
        <v>0</v>
      </c>
      <c r="AY110" s="48">
        <f>$AW$101-AX110</f>
        <v>0</v>
      </c>
      <c r="AZ110" s="47">
        <f>AW110-AY110</f>
        <v>0</v>
      </c>
      <c r="BA110" s="47">
        <f>AX110</f>
        <v>0</v>
      </c>
      <c r="BB110" s="49">
        <f>AY110</f>
        <v>0</v>
      </c>
    </row>
    <row r="111" spans="1:54" x14ac:dyDescent="0.2">
      <c r="B111" s="65">
        <v>2</v>
      </c>
      <c r="C111" s="35">
        <f t="shared" ref="C111:C142" si="39">IF(B111&lt;=$D$97,DATE(YEAR(C110),MONTH(C110)+12/$D$94,DAY(C110)),"0")</f>
        <v>43862</v>
      </c>
      <c r="D111" s="36">
        <f t="shared" ref="D111:D142" si="40">IF(B111=1,$D$90,G110)</f>
        <v>0</v>
      </c>
      <c r="E111" s="36">
        <f t="shared" si="34"/>
        <v>0</v>
      </c>
      <c r="F111" s="36">
        <f t="shared" ref="F111:F174" si="41">IF(AND(B111&lt;=$D$97,B111&gt;$D$95),$D$101-E111,0)</f>
        <v>0</v>
      </c>
      <c r="G111" s="36">
        <f>D111-F111</f>
        <v>0</v>
      </c>
      <c r="H111" s="36">
        <f t="shared" si="35"/>
        <v>0</v>
      </c>
      <c r="I111" s="39">
        <f t="shared" si="36"/>
        <v>0</v>
      </c>
      <c r="K111" s="38">
        <f>K110+1</f>
        <v>2</v>
      </c>
      <c r="L111" s="35">
        <f t="shared" ref="L111:L142" si="42">IF(K111&lt;=$M$97,DATE(YEAR(L110),MONTH(L110)+12/$M$94,DAY(L110)),"0")</f>
        <v>43862</v>
      </c>
      <c r="M111" s="36">
        <f t="shared" ref="M111:M142" si="43">IF(K111&lt;=$M$97,P110,0)</f>
        <v>0</v>
      </c>
      <c r="N111" s="36">
        <f t="shared" si="37"/>
        <v>0</v>
      </c>
      <c r="O111" s="36">
        <f t="shared" ref="O111:O174" si="44">IF(AND(K111&lt;=$M$97,K111&gt;$M$95),$M$101-N111,0)</f>
        <v>0</v>
      </c>
      <c r="P111" s="36">
        <f>M111-O111</f>
        <v>0</v>
      </c>
      <c r="Q111" s="36">
        <f t="shared" ref="Q111:Q142" si="45">IF(K111&lt;=$M$97,Q110+N111,0)</f>
        <v>0</v>
      </c>
      <c r="R111" s="39">
        <f t="shared" ref="R111:R142" si="46">IF(K111&lt;=$D$97,R110+O111,0)</f>
        <v>0</v>
      </c>
      <c r="T111" s="38">
        <f>T110+1</f>
        <v>2</v>
      </c>
      <c r="U111" s="35" t="str">
        <f t="shared" ref="U111:U142" si="47">IF(T111&lt;=$V$97,DATE(YEAR(U110),MONTH(U110)+12/$V$94,DAY(U110)),"0")</f>
        <v>0</v>
      </c>
      <c r="V111" s="36">
        <f t="shared" ref="V111:V142" si="48">IF(T111&lt;=$V$97,Y110,0)</f>
        <v>0</v>
      </c>
      <c r="W111" s="36">
        <f t="shared" si="38"/>
        <v>0</v>
      </c>
      <c r="X111" s="37">
        <f t="shared" ref="X111:X174" si="49">IF(AND(T111&lt;=$V$97,T111&gt;$V$95),$V$101-W111,0)</f>
        <v>0</v>
      </c>
      <c r="Y111" s="36">
        <f>V111-X111</f>
        <v>0</v>
      </c>
      <c r="Z111" s="36">
        <f t="shared" ref="Z111:Z142" si="50">IF(T111&lt;=$V$97,Z110+W111,0)</f>
        <v>0</v>
      </c>
      <c r="AA111" s="39">
        <f t="shared" ref="AA111:AA142" si="51">IF(T111&lt;=$V$97,AA110+X111,0)</f>
        <v>0</v>
      </c>
      <c r="AB111" s="41"/>
      <c r="AC111" s="38">
        <f>AC110+1</f>
        <v>2</v>
      </c>
      <c r="AD111" s="35">
        <f>IF(AC111&lt;=$AE$97,DATE(YEAR(AD110),MONTH(AD110)+12/$AE$95,DAY(AD110)),"0")</f>
        <v>43862</v>
      </c>
      <c r="AE111" s="36">
        <f>IF(AC111&lt;=$AE$97,AH110,0)</f>
        <v>0</v>
      </c>
      <c r="AF111" s="36">
        <f t="shared" ref="AF111:AF174" si="52">(AE111*$AE$93*1)/1200</f>
        <v>0</v>
      </c>
      <c r="AG111" s="37">
        <f t="shared" ref="AG111:AG168" si="53">IF(AC111&lt;$AE$97,$AE$101-AF111,0)+IF(AC111=$AE$97,$AE$90+$AE$101-AF111,0)</f>
        <v>0</v>
      </c>
      <c r="AH111" s="36">
        <f>AE111-AG111</f>
        <v>0</v>
      </c>
      <c r="AI111" s="36">
        <f>IF(AC111&lt;=$AE$97,AI110+AF111,0)</f>
        <v>0</v>
      </c>
      <c r="AJ111" s="39">
        <f>IF(AC111&lt;=$AE$97,AJ110+AG111,0)</f>
        <v>0</v>
      </c>
      <c r="AL111" s="38">
        <f>AL110+1</f>
        <v>2</v>
      </c>
      <c r="AM111" s="35">
        <f>IF(AL111&lt;=$AN$97,DATE(YEAR(AM110),MONTH(AM110)+12/$AN$95,DAY(AM110)),"0")</f>
        <v>43862</v>
      </c>
      <c r="AN111" s="36">
        <f>IF(AL111&lt;=$AN$97,AQ110,0)</f>
        <v>0</v>
      </c>
      <c r="AO111" s="36">
        <f t="shared" ref="AO111:AO174" si="54">(AN111*$AN$93*1)/1200</f>
        <v>0</v>
      </c>
      <c r="AP111" s="37">
        <f>IF(AL111&lt;$AN$97,$AN$101-AO111,0)+IF(AL111=$AN$97,$AN$90+$AN$101-AO111,0)</f>
        <v>0</v>
      </c>
      <c r="AQ111" s="36">
        <f>AN111-AP111</f>
        <v>0</v>
      </c>
      <c r="AR111" s="36">
        <f>IF(AL111&lt;=$AN$97,AR110+AO111,0)</f>
        <v>0</v>
      </c>
      <c r="AS111" s="39">
        <f>IF(AL111&lt;=$AN$97,AS110+AP111,0)</f>
        <v>0</v>
      </c>
      <c r="AU111" s="38">
        <f>AU110+1</f>
        <v>2</v>
      </c>
      <c r="AV111" s="35" t="str">
        <f>IF(AU111&lt;=$AW$97,DATE(YEAR(AV110),MONTH(AV110)+12/$AW$95,DAY(AV110)),"0")</f>
        <v>0</v>
      </c>
      <c r="AW111" s="36">
        <f>IF(AU111&lt;=$AW$97,AZ110,0)</f>
        <v>0</v>
      </c>
      <c r="AX111" s="36">
        <f t="shared" ref="AX111:AX174" si="55">(AW111*$AW$93*1)/1200</f>
        <v>0</v>
      </c>
      <c r="AY111" s="37">
        <f>IF(AU111&lt;$AW$97,$AW$101-AX111,0)+IF(AU111=$AW$97,$AW$90+$AW$101-AX111,0)</f>
        <v>0</v>
      </c>
      <c r="AZ111" s="36">
        <f>AW111-AY111</f>
        <v>0</v>
      </c>
      <c r="BA111" s="36">
        <f>IF(AU111&lt;=$AW$97,BA110+AX111,0)</f>
        <v>0</v>
      </c>
      <c r="BB111" s="39">
        <f>IF(AU111&lt;=$AW$97,BB110+AY111,0)</f>
        <v>0</v>
      </c>
    </row>
    <row r="112" spans="1:54" x14ac:dyDescent="0.2">
      <c r="B112" s="65">
        <v>3</v>
      </c>
      <c r="C112" s="35">
        <f t="shared" si="39"/>
        <v>43891</v>
      </c>
      <c r="D112" s="36">
        <f t="shared" si="40"/>
        <v>0</v>
      </c>
      <c r="E112" s="36">
        <f t="shared" si="34"/>
        <v>0</v>
      </c>
      <c r="F112" s="36">
        <f t="shared" si="41"/>
        <v>0</v>
      </c>
      <c r="G112" s="36">
        <f>D112-F112</f>
        <v>0</v>
      </c>
      <c r="H112" s="36">
        <f t="shared" si="35"/>
        <v>0</v>
      </c>
      <c r="I112" s="39">
        <f t="shared" si="36"/>
        <v>0</v>
      </c>
      <c r="K112" s="38">
        <f>K111+1</f>
        <v>3</v>
      </c>
      <c r="L112" s="35">
        <f t="shared" si="42"/>
        <v>43891</v>
      </c>
      <c r="M112" s="36">
        <f t="shared" si="43"/>
        <v>0</v>
      </c>
      <c r="N112" s="36">
        <f t="shared" si="37"/>
        <v>0</v>
      </c>
      <c r="O112" s="36">
        <f t="shared" si="44"/>
        <v>0</v>
      </c>
      <c r="P112" s="36">
        <f t="shared" ref="P112:P175" si="56">M112-O112</f>
        <v>0</v>
      </c>
      <c r="Q112" s="36">
        <f t="shared" si="45"/>
        <v>0</v>
      </c>
      <c r="R112" s="39">
        <f t="shared" si="46"/>
        <v>0</v>
      </c>
      <c r="T112" s="38">
        <f>T111+1</f>
        <v>3</v>
      </c>
      <c r="U112" s="35" t="str">
        <f t="shared" si="47"/>
        <v>0</v>
      </c>
      <c r="V112" s="36">
        <f t="shared" si="48"/>
        <v>0</v>
      </c>
      <c r="W112" s="36">
        <f t="shared" si="38"/>
        <v>0</v>
      </c>
      <c r="X112" s="37">
        <f t="shared" si="49"/>
        <v>0</v>
      </c>
      <c r="Y112" s="36">
        <f t="shared" ref="Y112:Y175" si="57">V112-X112</f>
        <v>0</v>
      </c>
      <c r="Z112" s="36">
        <f t="shared" si="50"/>
        <v>0</v>
      </c>
      <c r="AA112" s="39">
        <f t="shared" si="51"/>
        <v>0</v>
      </c>
      <c r="AB112" s="41"/>
      <c r="AC112" s="38">
        <f>AC111+1</f>
        <v>3</v>
      </c>
      <c r="AD112" s="35">
        <f t="shared" ref="AD112:AD175" si="58">IF(AC112&lt;=$AE$97,DATE(YEAR(AD111),MONTH(AD111)+12/$AE$95,DAY(AD111)),"0")</f>
        <v>43891</v>
      </c>
      <c r="AE112" s="36">
        <f t="shared" ref="AE112:AE175" si="59">IF(AC112&lt;=$AE$97,AH111,0)</f>
        <v>0</v>
      </c>
      <c r="AF112" s="36">
        <f t="shared" si="52"/>
        <v>0</v>
      </c>
      <c r="AG112" s="37">
        <f t="shared" si="53"/>
        <v>0</v>
      </c>
      <c r="AH112" s="36">
        <f t="shared" ref="AH112:AH175" si="60">AE112-AG112</f>
        <v>0</v>
      </c>
      <c r="AI112" s="36">
        <f t="shared" ref="AI112:AI175" si="61">IF(AC112&lt;=$AE$97,AI111+AF112,0)</f>
        <v>0</v>
      </c>
      <c r="AJ112" s="39">
        <f t="shared" ref="AJ112:AJ175" si="62">IF(AC112&lt;=$AE$97,AJ111+AG112,0)</f>
        <v>0</v>
      </c>
      <c r="AL112" s="38">
        <f>AL111+1</f>
        <v>3</v>
      </c>
      <c r="AM112" s="35">
        <f t="shared" ref="AM112:AM175" si="63">IF(AL112&lt;=$AN$97,DATE(YEAR(AM111),MONTH(AM111)+12/$AN$95,DAY(AM111)),"0")</f>
        <v>43891</v>
      </c>
      <c r="AN112" s="36">
        <f t="shared" ref="AN112:AN175" si="64">IF(AL112&lt;=$AN$97,AQ111,0)</f>
        <v>0</v>
      </c>
      <c r="AO112" s="36">
        <f t="shared" si="54"/>
        <v>0</v>
      </c>
      <c r="AP112" s="37">
        <f t="shared" ref="AP112:AP175" si="65">IF(AL112&lt;$AN$97,$AN$101-AO112,0)+IF(AL112=$AN$97,$AN$90+$AN$101-AO112,0)</f>
        <v>0</v>
      </c>
      <c r="AQ112" s="36">
        <f t="shared" ref="AQ112:AQ175" si="66">AN112-AP112</f>
        <v>0</v>
      </c>
      <c r="AR112" s="36">
        <f t="shared" ref="AR112:AR175" si="67">IF(AL112&lt;=$AN$97,AR111+AO112,0)</f>
        <v>0</v>
      </c>
      <c r="AS112" s="39">
        <f t="shared" ref="AS112:AS175" si="68">IF(AL112&lt;=$AN$97,AS111+AP112,0)</f>
        <v>0</v>
      </c>
      <c r="AU112" s="38">
        <f>AU111+1</f>
        <v>3</v>
      </c>
      <c r="AV112" s="35" t="str">
        <f t="shared" ref="AV112:AV175" si="69">IF(AU112&lt;=$AW$97,DATE(YEAR(AV111),MONTH(AV111)+12/$AW$95,DAY(AV111)),"0")</f>
        <v>0</v>
      </c>
      <c r="AW112" s="36">
        <f t="shared" ref="AW112:AW175" si="70">IF(AU112&lt;=$AW$97,AZ111,0)</f>
        <v>0</v>
      </c>
      <c r="AX112" s="36">
        <f t="shared" si="55"/>
        <v>0</v>
      </c>
      <c r="AY112" s="37">
        <f t="shared" ref="AY112:AY175" si="71">IF(AU112&lt;$AW$97,$AW$101-AX112,0)+IF(AU112=$AW$97,$AW$90+$AW$101-AX112,0)</f>
        <v>0</v>
      </c>
      <c r="AZ112" s="36">
        <f t="shared" ref="AZ112:AZ175" si="72">AW112-AY112</f>
        <v>0</v>
      </c>
      <c r="BA112" s="36">
        <f t="shared" ref="BA112:BA175" si="73">IF(AU112&lt;=$AW$97,BA111+AX112,0)</f>
        <v>0</v>
      </c>
      <c r="BB112" s="39">
        <f t="shared" ref="BB112:BB175" si="74">IF(AU112&lt;=$AW$97,BB111+AY112,0)</f>
        <v>0</v>
      </c>
    </row>
    <row r="113" spans="2:54" x14ac:dyDescent="0.2">
      <c r="B113" s="65">
        <v>4</v>
      </c>
      <c r="C113" s="35">
        <f t="shared" si="39"/>
        <v>43922</v>
      </c>
      <c r="D113" s="36">
        <f t="shared" si="40"/>
        <v>0</v>
      </c>
      <c r="E113" s="36">
        <f t="shared" si="34"/>
        <v>0</v>
      </c>
      <c r="F113" s="36">
        <f t="shared" si="41"/>
        <v>0</v>
      </c>
      <c r="G113" s="36">
        <f>D113-F113</f>
        <v>0</v>
      </c>
      <c r="H113" s="36">
        <f t="shared" si="35"/>
        <v>0</v>
      </c>
      <c r="I113" s="39">
        <f t="shared" si="36"/>
        <v>0</v>
      </c>
      <c r="K113" s="38">
        <f>K112+1</f>
        <v>4</v>
      </c>
      <c r="L113" s="35">
        <f t="shared" si="42"/>
        <v>43922</v>
      </c>
      <c r="M113" s="36">
        <f t="shared" si="43"/>
        <v>0</v>
      </c>
      <c r="N113" s="36">
        <f t="shared" si="37"/>
        <v>0</v>
      </c>
      <c r="O113" s="36">
        <f t="shared" si="44"/>
        <v>0</v>
      </c>
      <c r="P113" s="36">
        <f t="shared" si="56"/>
        <v>0</v>
      </c>
      <c r="Q113" s="36">
        <f t="shared" si="45"/>
        <v>0</v>
      </c>
      <c r="R113" s="39">
        <f t="shared" si="46"/>
        <v>0</v>
      </c>
      <c r="T113" s="38">
        <f>T112+1</f>
        <v>4</v>
      </c>
      <c r="U113" s="35" t="str">
        <f t="shared" si="47"/>
        <v>0</v>
      </c>
      <c r="V113" s="36">
        <f t="shared" si="48"/>
        <v>0</v>
      </c>
      <c r="W113" s="36">
        <f t="shared" si="38"/>
        <v>0</v>
      </c>
      <c r="X113" s="37">
        <f t="shared" si="49"/>
        <v>0</v>
      </c>
      <c r="Y113" s="36">
        <f t="shared" si="57"/>
        <v>0</v>
      </c>
      <c r="Z113" s="36">
        <f t="shared" si="50"/>
        <v>0</v>
      </c>
      <c r="AA113" s="39">
        <f t="shared" si="51"/>
        <v>0</v>
      </c>
      <c r="AB113" s="41"/>
      <c r="AC113" s="38">
        <f>AC112+1</f>
        <v>4</v>
      </c>
      <c r="AD113" s="35">
        <f t="shared" si="58"/>
        <v>43922</v>
      </c>
      <c r="AE113" s="36">
        <f t="shared" si="59"/>
        <v>0</v>
      </c>
      <c r="AF113" s="36">
        <f t="shared" si="52"/>
        <v>0</v>
      </c>
      <c r="AG113" s="37">
        <f t="shared" si="53"/>
        <v>0</v>
      </c>
      <c r="AH113" s="36">
        <f t="shared" si="60"/>
        <v>0</v>
      </c>
      <c r="AI113" s="36">
        <f t="shared" si="61"/>
        <v>0</v>
      </c>
      <c r="AJ113" s="39">
        <f t="shared" si="62"/>
        <v>0</v>
      </c>
      <c r="AL113" s="38">
        <f>AL112+1</f>
        <v>4</v>
      </c>
      <c r="AM113" s="35">
        <f t="shared" si="63"/>
        <v>43922</v>
      </c>
      <c r="AN113" s="36">
        <f t="shared" si="64"/>
        <v>0</v>
      </c>
      <c r="AO113" s="36">
        <f t="shared" si="54"/>
        <v>0</v>
      </c>
      <c r="AP113" s="37">
        <f t="shared" si="65"/>
        <v>0</v>
      </c>
      <c r="AQ113" s="36">
        <f t="shared" si="66"/>
        <v>0</v>
      </c>
      <c r="AR113" s="36">
        <f t="shared" si="67"/>
        <v>0</v>
      </c>
      <c r="AS113" s="39">
        <f t="shared" si="68"/>
        <v>0</v>
      </c>
      <c r="AU113" s="38">
        <f>AU112+1</f>
        <v>4</v>
      </c>
      <c r="AV113" s="35" t="str">
        <f t="shared" si="69"/>
        <v>0</v>
      </c>
      <c r="AW113" s="36">
        <f t="shared" si="70"/>
        <v>0</v>
      </c>
      <c r="AX113" s="36">
        <f t="shared" si="55"/>
        <v>0</v>
      </c>
      <c r="AY113" s="37">
        <f t="shared" si="71"/>
        <v>0</v>
      </c>
      <c r="AZ113" s="36">
        <f t="shared" si="72"/>
        <v>0</v>
      </c>
      <c r="BA113" s="36">
        <f t="shared" si="73"/>
        <v>0</v>
      </c>
      <c r="BB113" s="39">
        <f t="shared" si="74"/>
        <v>0</v>
      </c>
    </row>
    <row r="114" spans="2:54" x14ac:dyDescent="0.2">
      <c r="B114" s="65">
        <v>5</v>
      </c>
      <c r="C114" s="35">
        <f t="shared" si="39"/>
        <v>43952</v>
      </c>
      <c r="D114" s="36">
        <f t="shared" si="40"/>
        <v>0</v>
      </c>
      <c r="E114" s="36">
        <f t="shared" si="34"/>
        <v>0</v>
      </c>
      <c r="F114" s="36">
        <f t="shared" si="41"/>
        <v>0</v>
      </c>
      <c r="G114" s="36">
        <f t="shared" ref="G114:G177" si="75">D114-F114</f>
        <v>0</v>
      </c>
      <c r="H114" s="36">
        <f t="shared" si="35"/>
        <v>0</v>
      </c>
      <c r="I114" s="39">
        <f t="shared" si="36"/>
        <v>0</v>
      </c>
      <c r="K114" s="38">
        <f t="shared" ref="K114:K177" si="76">K113+1</f>
        <v>5</v>
      </c>
      <c r="L114" s="35">
        <f t="shared" si="42"/>
        <v>43952</v>
      </c>
      <c r="M114" s="36">
        <f t="shared" si="43"/>
        <v>0</v>
      </c>
      <c r="N114" s="36">
        <f t="shared" si="37"/>
        <v>0</v>
      </c>
      <c r="O114" s="36">
        <f t="shared" si="44"/>
        <v>0</v>
      </c>
      <c r="P114" s="36">
        <f t="shared" si="56"/>
        <v>0</v>
      </c>
      <c r="Q114" s="36">
        <f t="shared" si="45"/>
        <v>0</v>
      </c>
      <c r="R114" s="39">
        <f t="shared" si="46"/>
        <v>0</v>
      </c>
      <c r="T114" s="38">
        <f t="shared" ref="T114:T177" si="77">T113+1</f>
        <v>5</v>
      </c>
      <c r="U114" s="35" t="str">
        <f t="shared" si="47"/>
        <v>0</v>
      </c>
      <c r="V114" s="36">
        <f t="shared" si="48"/>
        <v>0</v>
      </c>
      <c r="W114" s="36">
        <f t="shared" si="38"/>
        <v>0</v>
      </c>
      <c r="X114" s="37">
        <f t="shared" si="49"/>
        <v>0</v>
      </c>
      <c r="Y114" s="36">
        <f t="shared" si="57"/>
        <v>0</v>
      </c>
      <c r="Z114" s="36">
        <f t="shared" si="50"/>
        <v>0</v>
      </c>
      <c r="AA114" s="39">
        <f t="shared" si="51"/>
        <v>0</v>
      </c>
      <c r="AB114" s="41"/>
      <c r="AC114" s="38">
        <f t="shared" ref="AC114:AC177" si="78">AC113+1</f>
        <v>5</v>
      </c>
      <c r="AD114" s="35">
        <f t="shared" si="58"/>
        <v>43952</v>
      </c>
      <c r="AE114" s="36">
        <f t="shared" si="59"/>
        <v>0</v>
      </c>
      <c r="AF114" s="36">
        <f t="shared" si="52"/>
        <v>0</v>
      </c>
      <c r="AG114" s="37">
        <f t="shared" si="53"/>
        <v>0</v>
      </c>
      <c r="AH114" s="36">
        <f t="shared" si="60"/>
        <v>0</v>
      </c>
      <c r="AI114" s="36">
        <f t="shared" si="61"/>
        <v>0</v>
      </c>
      <c r="AJ114" s="39">
        <f t="shared" si="62"/>
        <v>0</v>
      </c>
      <c r="AL114" s="38">
        <f t="shared" ref="AL114:AL177" si="79">AL113+1</f>
        <v>5</v>
      </c>
      <c r="AM114" s="35">
        <f t="shared" si="63"/>
        <v>43952</v>
      </c>
      <c r="AN114" s="36">
        <f t="shared" si="64"/>
        <v>0</v>
      </c>
      <c r="AO114" s="36">
        <f t="shared" si="54"/>
        <v>0</v>
      </c>
      <c r="AP114" s="37">
        <f t="shared" si="65"/>
        <v>0</v>
      </c>
      <c r="AQ114" s="36">
        <f t="shared" si="66"/>
        <v>0</v>
      </c>
      <c r="AR114" s="36">
        <f t="shared" si="67"/>
        <v>0</v>
      </c>
      <c r="AS114" s="39">
        <f t="shared" si="68"/>
        <v>0</v>
      </c>
      <c r="AU114" s="38">
        <f t="shared" ref="AU114:AU177" si="80">AU113+1</f>
        <v>5</v>
      </c>
      <c r="AV114" s="35" t="str">
        <f t="shared" si="69"/>
        <v>0</v>
      </c>
      <c r="AW114" s="36">
        <f t="shared" si="70"/>
        <v>0</v>
      </c>
      <c r="AX114" s="36">
        <f t="shared" si="55"/>
        <v>0</v>
      </c>
      <c r="AY114" s="37">
        <f t="shared" si="71"/>
        <v>0</v>
      </c>
      <c r="AZ114" s="36">
        <f t="shared" si="72"/>
        <v>0</v>
      </c>
      <c r="BA114" s="36">
        <f t="shared" si="73"/>
        <v>0</v>
      </c>
      <c r="BB114" s="39">
        <f t="shared" si="74"/>
        <v>0</v>
      </c>
    </row>
    <row r="115" spans="2:54" x14ac:dyDescent="0.2">
      <c r="B115" s="65">
        <v>6</v>
      </c>
      <c r="C115" s="35">
        <f t="shared" si="39"/>
        <v>43983</v>
      </c>
      <c r="D115" s="36">
        <f t="shared" si="40"/>
        <v>0</v>
      </c>
      <c r="E115" s="36">
        <f t="shared" si="34"/>
        <v>0</v>
      </c>
      <c r="F115" s="36">
        <f t="shared" si="41"/>
        <v>0</v>
      </c>
      <c r="G115" s="36">
        <f t="shared" si="75"/>
        <v>0</v>
      </c>
      <c r="H115" s="36">
        <f t="shared" si="35"/>
        <v>0</v>
      </c>
      <c r="I115" s="39">
        <f t="shared" si="36"/>
        <v>0</v>
      </c>
      <c r="K115" s="38">
        <f t="shared" si="76"/>
        <v>6</v>
      </c>
      <c r="L115" s="35">
        <f t="shared" si="42"/>
        <v>43983</v>
      </c>
      <c r="M115" s="36">
        <f t="shared" si="43"/>
        <v>0</v>
      </c>
      <c r="N115" s="36">
        <f t="shared" si="37"/>
        <v>0</v>
      </c>
      <c r="O115" s="36">
        <f t="shared" si="44"/>
        <v>0</v>
      </c>
      <c r="P115" s="36">
        <f t="shared" si="56"/>
        <v>0</v>
      </c>
      <c r="Q115" s="36">
        <f t="shared" si="45"/>
        <v>0</v>
      </c>
      <c r="R115" s="39">
        <f t="shared" si="46"/>
        <v>0</v>
      </c>
      <c r="T115" s="38">
        <f t="shared" si="77"/>
        <v>6</v>
      </c>
      <c r="U115" s="35" t="str">
        <f t="shared" si="47"/>
        <v>0</v>
      </c>
      <c r="V115" s="36">
        <f t="shared" si="48"/>
        <v>0</v>
      </c>
      <c r="W115" s="36">
        <f t="shared" si="38"/>
        <v>0</v>
      </c>
      <c r="X115" s="37">
        <f t="shared" si="49"/>
        <v>0</v>
      </c>
      <c r="Y115" s="36">
        <f t="shared" si="57"/>
        <v>0</v>
      </c>
      <c r="Z115" s="36">
        <f t="shared" si="50"/>
        <v>0</v>
      </c>
      <c r="AA115" s="39">
        <f t="shared" si="51"/>
        <v>0</v>
      </c>
      <c r="AB115" s="41"/>
      <c r="AC115" s="38">
        <f t="shared" si="78"/>
        <v>6</v>
      </c>
      <c r="AD115" s="35">
        <f t="shared" si="58"/>
        <v>43983</v>
      </c>
      <c r="AE115" s="36">
        <f t="shared" si="59"/>
        <v>0</v>
      </c>
      <c r="AF115" s="36">
        <f t="shared" si="52"/>
        <v>0</v>
      </c>
      <c r="AG115" s="37">
        <f t="shared" si="53"/>
        <v>0</v>
      </c>
      <c r="AH115" s="36">
        <f t="shared" si="60"/>
        <v>0</v>
      </c>
      <c r="AI115" s="36">
        <f t="shared" si="61"/>
        <v>0</v>
      </c>
      <c r="AJ115" s="39">
        <f t="shared" si="62"/>
        <v>0</v>
      </c>
      <c r="AL115" s="38">
        <f t="shared" si="79"/>
        <v>6</v>
      </c>
      <c r="AM115" s="35">
        <f t="shared" si="63"/>
        <v>43983</v>
      </c>
      <c r="AN115" s="36">
        <f t="shared" si="64"/>
        <v>0</v>
      </c>
      <c r="AO115" s="36">
        <f t="shared" si="54"/>
        <v>0</v>
      </c>
      <c r="AP115" s="37">
        <f t="shared" si="65"/>
        <v>0</v>
      </c>
      <c r="AQ115" s="36">
        <f t="shared" si="66"/>
        <v>0</v>
      </c>
      <c r="AR115" s="36">
        <f t="shared" si="67"/>
        <v>0</v>
      </c>
      <c r="AS115" s="39">
        <f t="shared" si="68"/>
        <v>0</v>
      </c>
      <c r="AU115" s="38">
        <f t="shared" si="80"/>
        <v>6</v>
      </c>
      <c r="AV115" s="35" t="str">
        <f t="shared" si="69"/>
        <v>0</v>
      </c>
      <c r="AW115" s="36">
        <f t="shared" si="70"/>
        <v>0</v>
      </c>
      <c r="AX115" s="36">
        <f t="shared" si="55"/>
        <v>0</v>
      </c>
      <c r="AY115" s="37">
        <f t="shared" si="71"/>
        <v>0</v>
      </c>
      <c r="AZ115" s="36">
        <f t="shared" si="72"/>
        <v>0</v>
      </c>
      <c r="BA115" s="36">
        <f t="shared" si="73"/>
        <v>0</v>
      </c>
      <c r="BB115" s="39">
        <f t="shared" si="74"/>
        <v>0</v>
      </c>
    </row>
    <row r="116" spans="2:54" x14ac:dyDescent="0.2">
      <c r="B116" s="65">
        <v>7</v>
      </c>
      <c r="C116" s="35">
        <f t="shared" si="39"/>
        <v>44013</v>
      </c>
      <c r="D116" s="36">
        <f t="shared" si="40"/>
        <v>0</v>
      </c>
      <c r="E116" s="36">
        <f t="shared" si="34"/>
        <v>0</v>
      </c>
      <c r="F116" s="36">
        <f t="shared" si="41"/>
        <v>0</v>
      </c>
      <c r="G116" s="36">
        <f t="shared" si="75"/>
        <v>0</v>
      </c>
      <c r="H116" s="36">
        <f t="shared" si="35"/>
        <v>0</v>
      </c>
      <c r="I116" s="39">
        <f t="shared" si="36"/>
        <v>0</v>
      </c>
      <c r="K116" s="38">
        <f t="shared" si="76"/>
        <v>7</v>
      </c>
      <c r="L116" s="35">
        <f t="shared" si="42"/>
        <v>44013</v>
      </c>
      <c r="M116" s="36">
        <f t="shared" si="43"/>
        <v>0</v>
      </c>
      <c r="N116" s="36">
        <f t="shared" si="37"/>
        <v>0</v>
      </c>
      <c r="O116" s="36">
        <f t="shared" si="44"/>
        <v>0</v>
      </c>
      <c r="P116" s="36">
        <f t="shared" si="56"/>
        <v>0</v>
      </c>
      <c r="Q116" s="36">
        <f t="shared" si="45"/>
        <v>0</v>
      </c>
      <c r="R116" s="39">
        <f t="shared" si="46"/>
        <v>0</v>
      </c>
      <c r="T116" s="38">
        <f t="shared" si="77"/>
        <v>7</v>
      </c>
      <c r="U116" s="35" t="str">
        <f t="shared" si="47"/>
        <v>0</v>
      </c>
      <c r="V116" s="36">
        <f t="shared" si="48"/>
        <v>0</v>
      </c>
      <c r="W116" s="36">
        <f t="shared" si="38"/>
        <v>0</v>
      </c>
      <c r="X116" s="37">
        <f t="shared" si="49"/>
        <v>0</v>
      </c>
      <c r="Y116" s="36">
        <f t="shared" si="57"/>
        <v>0</v>
      </c>
      <c r="Z116" s="36">
        <f t="shared" si="50"/>
        <v>0</v>
      </c>
      <c r="AA116" s="39">
        <f t="shared" si="51"/>
        <v>0</v>
      </c>
      <c r="AB116" s="41"/>
      <c r="AC116" s="38">
        <f t="shared" si="78"/>
        <v>7</v>
      </c>
      <c r="AD116" s="35">
        <f t="shared" si="58"/>
        <v>44013</v>
      </c>
      <c r="AE116" s="36">
        <f t="shared" si="59"/>
        <v>0</v>
      </c>
      <c r="AF116" s="36">
        <f t="shared" si="52"/>
        <v>0</v>
      </c>
      <c r="AG116" s="37">
        <f t="shared" si="53"/>
        <v>0</v>
      </c>
      <c r="AH116" s="36">
        <f t="shared" si="60"/>
        <v>0</v>
      </c>
      <c r="AI116" s="36">
        <f t="shared" si="61"/>
        <v>0</v>
      </c>
      <c r="AJ116" s="39">
        <f t="shared" si="62"/>
        <v>0</v>
      </c>
      <c r="AL116" s="38">
        <f t="shared" si="79"/>
        <v>7</v>
      </c>
      <c r="AM116" s="35">
        <f t="shared" si="63"/>
        <v>44013</v>
      </c>
      <c r="AN116" s="36">
        <f t="shared" si="64"/>
        <v>0</v>
      </c>
      <c r="AO116" s="36">
        <f t="shared" si="54"/>
        <v>0</v>
      </c>
      <c r="AP116" s="37">
        <f t="shared" si="65"/>
        <v>0</v>
      </c>
      <c r="AQ116" s="36">
        <f t="shared" si="66"/>
        <v>0</v>
      </c>
      <c r="AR116" s="36">
        <f t="shared" si="67"/>
        <v>0</v>
      </c>
      <c r="AS116" s="39">
        <f t="shared" si="68"/>
        <v>0</v>
      </c>
      <c r="AU116" s="38">
        <f t="shared" si="80"/>
        <v>7</v>
      </c>
      <c r="AV116" s="35" t="str">
        <f t="shared" si="69"/>
        <v>0</v>
      </c>
      <c r="AW116" s="36">
        <f t="shared" si="70"/>
        <v>0</v>
      </c>
      <c r="AX116" s="36">
        <f t="shared" si="55"/>
        <v>0</v>
      </c>
      <c r="AY116" s="37">
        <f t="shared" si="71"/>
        <v>0</v>
      </c>
      <c r="AZ116" s="36">
        <f t="shared" si="72"/>
        <v>0</v>
      </c>
      <c r="BA116" s="36">
        <f t="shared" si="73"/>
        <v>0</v>
      </c>
      <c r="BB116" s="39">
        <f t="shared" si="74"/>
        <v>0</v>
      </c>
    </row>
    <row r="117" spans="2:54" x14ac:dyDescent="0.2">
      <c r="B117" s="65">
        <v>8</v>
      </c>
      <c r="C117" s="35">
        <f t="shared" si="39"/>
        <v>44044</v>
      </c>
      <c r="D117" s="36">
        <f t="shared" si="40"/>
        <v>0</v>
      </c>
      <c r="E117" s="36">
        <f t="shared" si="34"/>
        <v>0</v>
      </c>
      <c r="F117" s="36">
        <f t="shared" si="41"/>
        <v>0</v>
      </c>
      <c r="G117" s="36">
        <f t="shared" si="75"/>
        <v>0</v>
      </c>
      <c r="H117" s="36">
        <f t="shared" si="35"/>
        <v>0</v>
      </c>
      <c r="I117" s="39">
        <f t="shared" si="36"/>
        <v>0</v>
      </c>
      <c r="K117" s="38">
        <f t="shared" si="76"/>
        <v>8</v>
      </c>
      <c r="L117" s="35">
        <f t="shared" si="42"/>
        <v>44044</v>
      </c>
      <c r="M117" s="36">
        <f t="shared" si="43"/>
        <v>0</v>
      </c>
      <c r="N117" s="36">
        <f t="shared" si="37"/>
        <v>0</v>
      </c>
      <c r="O117" s="36">
        <f t="shared" si="44"/>
        <v>0</v>
      </c>
      <c r="P117" s="36">
        <f t="shared" si="56"/>
        <v>0</v>
      </c>
      <c r="Q117" s="36">
        <f t="shared" si="45"/>
        <v>0</v>
      </c>
      <c r="R117" s="39">
        <f t="shared" si="46"/>
        <v>0</v>
      </c>
      <c r="T117" s="38">
        <f t="shared" si="77"/>
        <v>8</v>
      </c>
      <c r="U117" s="35" t="str">
        <f t="shared" si="47"/>
        <v>0</v>
      </c>
      <c r="V117" s="36">
        <f t="shared" si="48"/>
        <v>0</v>
      </c>
      <c r="W117" s="36">
        <f t="shared" si="38"/>
        <v>0</v>
      </c>
      <c r="X117" s="37">
        <f t="shared" si="49"/>
        <v>0</v>
      </c>
      <c r="Y117" s="36">
        <f t="shared" si="57"/>
        <v>0</v>
      </c>
      <c r="Z117" s="36">
        <f t="shared" si="50"/>
        <v>0</v>
      </c>
      <c r="AA117" s="39">
        <f t="shared" si="51"/>
        <v>0</v>
      </c>
      <c r="AB117" s="41"/>
      <c r="AC117" s="38">
        <f t="shared" si="78"/>
        <v>8</v>
      </c>
      <c r="AD117" s="35">
        <f t="shared" si="58"/>
        <v>44044</v>
      </c>
      <c r="AE117" s="36">
        <f t="shared" si="59"/>
        <v>0</v>
      </c>
      <c r="AF117" s="36">
        <f t="shared" si="52"/>
        <v>0</v>
      </c>
      <c r="AG117" s="37">
        <f t="shared" si="53"/>
        <v>0</v>
      </c>
      <c r="AH117" s="36">
        <f t="shared" si="60"/>
        <v>0</v>
      </c>
      <c r="AI117" s="36">
        <f t="shared" si="61"/>
        <v>0</v>
      </c>
      <c r="AJ117" s="39">
        <f t="shared" si="62"/>
        <v>0</v>
      </c>
      <c r="AL117" s="38">
        <f t="shared" si="79"/>
        <v>8</v>
      </c>
      <c r="AM117" s="35">
        <f t="shared" si="63"/>
        <v>44044</v>
      </c>
      <c r="AN117" s="36">
        <f t="shared" si="64"/>
        <v>0</v>
      </c>
      <c r="AO117" s="36">
        <f t="shared" si="54"/>
        <v>0</v>
      </c>
      <c r="AP117" s="37">
        <f t="shared" si="65"/>
        <v>0</v>
      </c>
      <c r="AQ117" s="36">
        <f t="shared" si="66"/>
        <v>0</v>
      </c>
      <c r="AR117" s="36">
        <f t="shared" si="67"/>
        <v>0</v>
      </c>
      <c r="AS117" s="39">
        <f t="shared" si="68"/>
        <v>0</v>
      </c>
      <c r="AU117" s="38">
        <f t="shared" si="80"/>
        <v>8</v>
      </c>
      <c r="AV117" s="35" t="str">
        <f t="shared" si="69"/>
        <v>0</v>
      </c>
      <c r="AW117" s="36">
        <f t="shared" si="70"/>
        <v>0</v>
      </c>
      <c r="AX117" s="36">
        <f t="shared" si="55"/>
        <v>0</v>
      </c>
      <c r="AY117" s="37">
        <f t="shared" si="71"/>
        <v>0</v>
      </c>
      <c r="AZ117" s="36">
        <f t="shared" si="72"/>
        <v>0</v>
      </c>
      <c r="BA117" s="36">
        <f t="shared" si="73"/>
        <v>0</v>
      </c>
      <c r="BB117" s="39">
        <f t="shared" si="74"/>
        <v>0</v>
      </c>
    </row>
    <row r="118" spans="2:54" x14ac:dyDescent="0.2">
      <c r="B118" s="65">
        <v>9</v>
      </c>
      <c r="C118" s="35">
        <f t="shared" si="39"/>
        <v>44075</v>
      </c>
      <c r="D118" s="36">
        <f t="shared" si="40"/>
        <v>0</v>
      </c>
      <c r="E118" s="36">
        <f t="shared" si="34"/>
        <v>0</v>
      </c>
      <c r="F118" s="36">
        <f t="shared" si="41"/>
        <v>0</v>
      </c>
      <c r="G118" s="36">
        <f t="shared" si="75"/>
        <v>0</v>
      </c>
      <c r="H118" s="36">
        <f t="shared" si="35"/>
        <v>0</v>
      </c>
      <c r="I118" s="39">
        <f t="shared" si="36"/>
        <v>0</v>
      </c>
      <c r="K118" s="38">
        <f t="shared" si="76"/>
        <v>9</v>
      </c>
      <c r="L118" s="35">
        <f t="shared" si="42"/>
        <v>44075</v>
      </c>
      <c r="M118" s="36">
        <f t="shared" si="43"/>
        <v>0</v>
      </c>
      <c r="N118" s="36">
        <f t="shared" si="37"/>
        <v>0</v>
      </c>
      <c r="O118" s="36">
        <f t="shared" si="44"/>
        <v>0</v>
      </c>
      <c r="P118" s="36">
        <f t="shared" si="56"/>
        <v>0</v>
      </c>
      <c r="Q118" s="36">
        <f t="shared" si="45"/>
        <v>0</v>
      </c>
      <c r="R118" s="39">
        <f t="shared" si="46"/>
        <v>0</v>
      </c>
      <c r="T118" s="38">
        <f t="shared" si="77"/>
        <v>9</v>
      </c>
      <c r="U118" s="35" t="str">
        <f t="shared" si="47"/>
        <v>0</v>
      </c>
      <c r="V118" s="36">
        <f t="shared" si="48"/>
        <v>0</v>
      </c>
      <c r="W118" s="36">
        <f t="shared" si="38"/>
        <v>0</v>
      </c>
      <c r="X118" s="37">
        <f t="shared" si="49"/>
        <v>0</v>
      </c>
      <c r="Y118" s="36">
        <f t="shared" si="57"/>
        <v>0</v>
      </c>
      <c r="Z118" s="36">
        <f t="shared" si="50"/>
        <v>0</v>
      </c>
      <c r="AA118" s="39">
        <f t="shared" si="51"/>
        <v>0</v>
      </c>
      <c r="AB118" s="41"/>
      <c r="AC118" s="38">
        <f t="shared" si="78"/>
        <v>9</v>
      </c>
      <c r="AD118" s="35">
        <f t="shared" si="58"/>
        <v>44075</v>
      </c>
      <c r="AE118" s="36">
        <f t="shared" si="59"/>
        <v>0</v>
      </c>
      <c r="AF118" s="36">
        <f t="shared" si="52"/>
        <v>0</v>
      </c>
      <c r="AG118" s="37">
        <f t="shared" si="53"/>
        <v>0</v>
      </c>
      <c r="AH118" s="36">
        <f t="shared" si="60"/>
        <v>0</v>
      </c>
      <c r="AI118" s="36">
        <f t="shared" si="61"/>
        <v>0</v>
      </c>
      <c r="AJ118" s="39">
        <f t="shared" si="62"/>
        <v>0</v>
      </c>
      <c r="AL118" s="38">
        <f t="shared" si="79"/>
        <v>9</v>
      </c>
      <c r="AM118" s="35">
        <f t="shared" si="63"/>
        <v>44075</v>
      </c>
      <c r="AN118" s="36">
        <f t="shared" si="64"/>
        <v>0</v>
      </c>
      <c r="AO118" s="36">
        <f t="shared" si="54"/>
        <v>0</v>
      </c>
      <c r="AP118" s="37">
        <f t="shared" si="65"/>
        <v>0</v>
      </c>
      <c r="AQ118" s="36">
        <f t="shared" si="66"/>
        <v>0</v>
      </c>
      <c r="AR118" s="36">
        <f t="shared" si="67"/>
        <v>0</v>
      </c>
      <c r="AS118" s="39">
        <f t="shared" si="68"/>
        <v>0</v>
      </c>
      <c r="AU118" s="38">
        <f t="shared" si="80"/>
        <v>9</v>
      </c>
      <c r="AV118" s="35" t="str">
        <f t="shared" si="69"/>
        <v>0</v>
      </c>
      <c r="AW118" s="36">
        <f t="shared" si="70"/>
        <v>0</v>
      </c>
      <c r="AX118" s="36">
        <f t="shared" si="55"/>
        <v>0</v>
      </c>
      <c r="AY118" s="37">
        <f t="shared" si="71"/>
        <v>0</v>
      </c>
      <c r="AZ118" s="36">
        <f t="shared" si="72"/>
        <v>0</v>
      </c>
      <c r="BA118" s="36">
        <f t="shared" si="73"/>
        <v>0</v>
      </c>
      <c r="BB118" s="39">
        <f t="shared" si="74"/>
        <v>0</v>
      </c>
    </row>
    <row r="119" spans="2:54" x14ac:dyDescent="0.2">
      <c r="B119" s="65">
        <v>10</v>
      </c>
      <c r="C119" s="35">
        <f t="shared" si="39"/>
        <v>44105</v>
      </c>
      <c r="D119" s="36">
        <f t="shared" si="40"/>
        <v>0</v>
      </c>
      <c r="E119" s="36">
        <f t="shared" si="34"/>
        <v>0</v>
      </c>
      <c r="F119" s="36">
        <f t="shared" si="41"/>
        <v>0</v>
      </c>
      <c r="G119" s="36">
        <f t="shared" si="75"/>
        <v>0</v>
      </c>
      <c r="H119" s="36">
        <f t="shared" si="35"/>
        <v>0</v>
      </c>
      <c r="I119" s="39">
        <f t="shared" si="36"/>
        <v>0</v>
      </c>
      <c r="K119" s="38">
        <f t="shared" si="76"/>
        <v>10</v>
      </c>
      <c r="L119" s="35">
        <f t="shared" si="42"/>
        <v>44105</v>
      </c>
      <c r="M119" s="36">
        <f t="shared" si="43"/>
        <v>0</v>
      </c>
      <c r="N119" s="36">
        <f t="shared" si="37"/>
        <v>0</v>
      </c>
      <c r="O119" s="36">
        <f t="shared" si="44"/>
        <v>0</v>
      </c>
      <c r="P119" s="36">
        <f t="shared" si="56"/>
        <v>0</v>
      </c>
      <c r="Q119" s="36">
        <f t="shared" si="45"/>
        <v>0</v>
      </c>
      <c r="R119" s="39">
        <f t="shared" si="46"/>
        <v>0</v>
      </c>
      <c r="T119" s="38">
        <f t="shared" si="77"/>
        <v>10</v>
      </c>
      <c r="U119" s="35" t="str">
        <f t="shared" si="47"/>
        <v>0</v>
      </c>
      <c r="V119" s="36">
        <f t="shared" si="48"/>
        <v>0</v>
      </c>
      <c r="W119" s="36">
        <f t="shared" si="38"/>
        <v>0</v>
      </c>
      <c r="X119" s="37">
        <f t="shared" si="49"/>
        <v>0</v>
      </c>
      <c r="Y119" s="36">
        <f t="shared" si="57"/>
        <v>0</v>
      </c>
      <c r="Z119" s="36">
        <f t="shared" si="50"/>
        <v>0</v>
      </c>
      <c r="AA119" s="39">
        <f t="shared" si="51"/>
        <v>0</v>
      </c>
      <c r="AB119" s="41"/>
      <c r="AC119" s="38">
        <f t="shared" si="78"/>
        <v>10</v>
      </c>
      <c r="AD119" s="35">
        <f t="shared" si="58"/>
        <v>44105</v>
      </c>
      <c r="AE119" s="36">
        <f t="shared" si="59"/>
        <v>0</v>
      </c>
      <c r="AF119" s="36">
        <f t="shared" si="52"/>
        <v>0</v>
      </c>
      <c r="AG119" s="37">
        <f t="shared" si="53"/>
        <v>0</v>
      </c>
      <c r="AH119" s="36">
        <f t="shared" si="60"/>
        <v>0</v>
      </c>
      <c r="AI119" s="36">
        <f t="shared" si="61"/>
        <v>0</v>
      </c>
      <c r="AJ119" s="39">
        <f t="shared" si="62"/>
        <v>0</v>
      </c>
      <c r="AL119" s="38">
        <f t="shared" si="79"/>
        <v>10</v>
      </c>
      <c r="AM119" s="35">
        <f t="shared" si="63"/>
        <v>44105</v>
      </c>
      <c r="AN119" s="36">
        <f t="shared" si="64"/>
        <v>0</v>
      </c>
      <c r="AO119" s="36">
        <f t="shared" si="54"/>
        <v>0</v>
      </c>
      <c r="AP119" s="37">
        <f t="shared" si="65"/>
        <v>0</v>
      </c>
      <c r="AQ119" s="36">
        <f t="shared" si="66"/>
        <v>0</v>
      </c>
      <c r="AR119" s="36">
        <f t="shared" si="67"/>
        <v>0</v>
      </c>
      <c r="AS119" s="39">
        <f t="shared" si="68"/>
        <v>0</v>
      </c>
      <c r="AU119" s="38">
        <f t="shared" si="80"/>
        <v>10</v>
      </c>
      <c r="AV119" s="35" t="str">
        <f t="shared" si="69"/>
        <v>0</v>
      </c>
      <c r="AW119" s="36">
        <f t="shared" si="70"/>
        <v>0</v>
      </c>
      <c r="AX119" s="36">
        <f t="shared" si="55"/>
        <v>0</v>
      </c>
      <c r="AY119" s="37">
        <f t="shared" si="71"/>
        <v>0</v>
      </c>
      <c r="AZ119" s="36">
        <f t="shared" si="72"/>
        <v>0</v>
      </c>
      <c r="BA119" s="36">
        <f t="shared" si="73"/>
        <v>0</v>
      </c>
      <c r="BB119" s="39">
        <f t="shared" si="74"/>
        <v>0</v>
      </c>
    </row>
    <row r="120" spans="2:54" x14ac:dyDescent="0.2">
      <c r="B120" s="65">
        <v>11</v>
      </c>
      <c r="C120" s="35">
        <f t="shared" si="39"/>
        <v>44136</v>
      </c>
      <c r="D120" s="36">
        <f t="shared" si="40"/>
        <v>0</v>
      </c>
      <c r="E120" s="36">
        <f t="shared" si="34"/>
        <v>0</v>
      </c>
      <c r="F120" s="36">
        <f t="shared" si="41"/>
        <v>0</v>
      </c>
      <c r="G120" s="36">
        <f t="shared" si="75"/>
        <v>0</v>
      </c>
      <c r="H120" s="36">
        <f t="shared" si="35"/>
        <v>0</v>
      </c>
      <c r="I120" s="39">
        <f t="shared" si="36"/>
        <v>0</v>
      </c>
      <c r="K120" s="38">
        <f t="shared" si="76"/>
        <v>11</v>
      </c>
      <c r="L120" s="35">
        <f t="shared" si="42"/>
        <v>44136</v>
      </c>
      <c r="M120" s="36">
        <f t="shared" si="43"/>
        <v>0</v>
      </c>
      <c r="N120" s="36">
        <f t="shared" si="37"/>
        <v>0</v>
      </c>
      <c r="O120" s="36">
        <f t="shared" si="44"/>
        <v>0</v>
      </c>
      <c r="P120" s="36">
        <f t="shared" si="56"/>
        <v>0</v>
      </c>
      <c r="Q120" s="36">
        <f t="shared" si="45"/>
        <v>0</v>
      </c>
      <c r="R120" s="39">
        <f t="shared" si="46"/>
        <v>0</v>
      </c>
      <c r="T120" s="38">
        <f t="shared" si="77"/>
        <v>11</v>
      </c>
      <c r="U120" s="35" t="str">
        <f t="shared" si="47"/>
        <v>0</v>
      </c>
      <c r="V120" s="36">
        <f t="shared" si="48"/>
        <v>0</v>
      </c>
      <c r="W120" s="36">
        <f t="shared" si="38"/>
        <v>0</v>
      </c>
      <c r="X120" s="37">
        <f t="shared" si="49"/>
        <v>0</v>
      </c>
      <c r="Y120" s="36">
        <f t="shared" si="57"/>
        <v>0</v>
      </c>
      <c r="Z120" s="36">
        <f t="shared" si="50"/>
        <v>0</v>
      </c>
      <c r="AA120" s="39">
        <f t="shared" si="51"/>
        <v>0</v>
      </c>
      <c r="AB120" s="41"/>
      <c r="AC120" s="38">
        <f t="shared" si="78"/>
        <v>11</v>
      </c>
      <c r="AD120" s="35">
        <f t="shared" si="58"/>
        <v>44136</v>
      </c>
      <c r="AE120" s="36">
        <f t="shared" si="59"/>
        <v>0</v>
      </c>
      <c r="AF120" s="36">
        <f t="shared" si="52"/>
        <v>0</v>
      </c>
      <c r="AG120" s="37">
        <f t="shared" si="53"/>
        <v>0</v>
      </c>
      <c r="AH120" s="36">
        <f t="shared" si="60"/>
        <v>0</v>
      </c>
      <c r="AI120" s="36">
        <f t="shared" si="61"/>
        <v>0</v>
      </c>
      <c r="AJ120" s="39">
        <f t="shared" si="62"/>
        <v>0</v>
      </c>
      <c r="AL120" s="38">
        <f t="shared" si="79"/>
        <v>11</v>
      </c>
      <c r="AM120" s="35">
        <f t="shared" si="63"/>
        <v>44136</v>
      </c>
      <c r="AN120" s="36">
        <f t="shared" si="64"/>
        <v>0</v>
      </c>
      <c r="AO120" s="36">
        <f t="shared" si="54"/>
        <v>0</v>
      </c>
      <c r="AP120" s="37">
        <f t="shared" si="65"/>
        <v>0</v>
      </c>
      <c r="AQ120" s="36">
        <f t="shared" si="66"/>
        <v>0</v>
      </c>
      <c r="AR120" s="36">
        <f t="shared" si="67"/>
        <v>0</v>
      </c>
      <c r="AS120" s="39">
        <f t="shared" si="68"/>
        <v>0</v>
      </c>
      <c r="AU120" s="38">
        <f t="shared" si="80"/>
        <v>11</v>
      </c>
      <c r="AV120" s="35" t="str">
        <f t="shared" si="69"/>
        <v>0</v>
      </c>
      <c r="AW120" s="36">
        <f t="shared" si="70"/>
        <v>0</v>
      </c>
      <c r="AX120" s="36">
        <f t="shared" si="55"/>
        <v>0</v>
      </c>
      <c r="AY120" s="37">
        <f t="shared" si="71"/>
        <v>0</v>
      </c>
      <c r="AZ120" s="36">
        <f t="shared" si="72"/>
        <v>0</v>
      </c>
      <c r="BA120" s="36">
        <f t="shared" si="73"/>
        <v>0</v>
      </c>
      <c r="BB120" s="39">
        <f t="shared" si="74"/>
        <v>0</v>
      </c>
    </row>
    <row r="121" spans="2:54" x14ac:dyDescent="0.2">
      <c r="B121" s="38">
        <v>12</v>
      </c>
      <c r="C121" s="35">
        <f t="shared" si="39"/>
        <v>44166</v>
      </c>
      <c r="D121" s="36">
        <f t="shared" si="40"/>
        <v>0</v>
      </c>
      <c r="E121" s="36">
        <f t="shared" si="34"/>
        <v>0</v>
      </c>
      <c r="F121" s="36">
        <f t="shared" si="41"/>
        <v>0</v>
      </c>
      <c r="G121" s="36">
        <f t="shared" si="75"/>
        <v>0</v>
      </c>
      <c r="H121" s="36">
        <f t="shared" si="35"/>
        <v>0</v>
      </c>
      <c r="I121" s="39">
        <f t="shared" si="36"/>
        <v>0</v>
      </c>
      <c r="J121" s="41"/>
      <c r="K121" s="38">
        <f t="shared" si="76"/>
        <v>12</v>
      </c>
      <c r="L121" s="35">
        <f t="shared" si="42"/>
        <v>44166</v>
      </c>
      <c r="M121" s="36">
        <f t="shared" si="43"/>
        <v>0</v>
      </c>
      <c r="N121" s="36">
        <f t="shared" si="37"/>
        <v>0</v>
      </c>
      <c r="O121" s="36">
        <f t="shared" si="44"/>
        <v>0</v>
      </c>
      <c r="P121" s="36">
        <f t="shared" si="56"/>
        <v>0</v>
      </c>
      <c r="Q121" s="36">
        <f t="shared" si="45"/>
        <v>0</v>
      </c>
      <c r="R121" s="39">
        <f t="shared" si="46"/>
        <v>0</v>
      </c>
      <c r="S121" s="41"/>
      <c r="T121" s="38">
        <f t="shared" si="77"/>
        <v>12</v>
      </c>
      <c r="U121" s="35" t="str">
        <f t="shared" si="47"/>
        <v>0</v>
      </c>
      <c r="V121" s="36">
        <f t="shared" si="48"/>
        <v>0</v>
      </c>
      <c r="W121" s="36">
        <f t="shared" si="38"/>
        <v>0</v>
      </c>
      <c r="X121" s="37">
        <f t="shared" si="49"/>
        <v>0</v>
      </c>
      <c r="Y121" s="36">
        <f t="shared" si="57"/>
        <v>0</v>
      </c>
      <c r="Z121" s="36">
        <f t="shared" si="50"/>
        <v>0</v>
      </c>
      <c r="AA121" s="39">
        <f t="shared" si="51"/>
        <v>0</v>
      </c>
      <c r="AB121" s="41"/>
      <c r="AC121" s="38">
        <f t="shared" si="78"/>
        <v>12</v>
      </c>
      <c r="AD121" s="35">
        <f t="shared" si="58"/>
        <v>44166</v>
      </c>
      <c r="AE121" s="36">
        <f t="shared" si="59"/>
        <v>0</v>
      </c>
      <c r="AF121" s="36">
        <f t="shared" si="52"/>
        <v>0</v>
      </c>
      <c r="AG121" s="37">
        <f t="shared" si="53"/>
        <v>0</v>
      </c>
      <c r="AH121" s="36">
        <f t="shared" si="60"/>
        <v>0</v>
      </c>
      <c r="AI121" s="36">
        <f t="shared" si="61"/>
        <v>0</v>
      </c>
      <c r="AJ121" s="39">
        <f t="shared" si="62"/>
        <v>0</v>
      </c>
      <c r="AL121" s="38">
        <f t="shared" si="79"/>
        <v>12</v>
      </c>
      <c r="AM121" s="35">
        <f t="shared" si="63"/>
        <v>44166</v>
      </c>
      <c r="AN121" s="36">
        <f t="shared" si="64"/>
        <v>0</v>
      </c>
      <c r="AO121" s="36">
        <f t="shared" si="54"/>
        <v>0</v>
      </c>
      <c r="AP121" s="37">
        <f t="shared" si="65"/>
        <v>0</v>
      </c>
      <c r="AQ121" s="36">
        <f t="shared" si="66"/>
        <v>0</v>
      </c>
      <c r="AR121" s="36">
        <f t="shared" si="67"/>
        <v>0</v>
      </c>
      <c r="AS121" s="39">
        <f t="shared" si="68"/>
        <v>0</v>
      </c>
      <c r="AU121" s="38">
        <f t="shared" si="80"/>
        <v>12</v>
      </c>
      <c r="AV121" s="35" t="str">
        <f t="shared" si="69"/>
        <v>0</v>
      </c>
      <c r="AW121" s="36">
        <f t="shared" si="70"/>
        <v>0</v>
      </c>
      <c r="AX121" s="36">
        <f t="shared" si="55"/>
        <v>0</v>
      </c>
      <c r="AY121" s="37">
        <f t="shared" si="71"/>
        <v>0</v>
      </c>
      <c r="AZ121" s="36">
        <f t="shared" si="72"/>
        <v>0</v>
      </c>
      <c r="BA121" s="36">
        <f t="shared" si="73"/>
        <v>0</v>
      </c>
      <c r="BB121" s="39">
        <f t="shared" si="74"/>
        <v>0</v>
      </c>
    </row>
    <row r="122" spans="2:54" s="41" customFormat="1" x14ac:dyDescent="0.2">
      <c r="B122" s="65">
        <v>13</v>
      </c>
      <c r="C122" s="35">
        <f t="shared" si="39"/>
        <v>44197</v>
      </c>
      <c r="D122" s="36">
        <f t="shared" si="40"/>
        <v>0</v>
      </c>
      <c r="E122" s="36">
        <f t="shared" si="34"/>
        <v>0</v>
      </c>
      <c r="F122" s="36">
        <f t="shared" si="41"/>
        <v>0</v>
      </c>
      <c r="G122" s="36">
        <f t="shared" si="75"/>
        <v>0</v>
      </c>
      <c r="H122" s="36">
        <f t="shared" si="35"/>
        <v>0</v>
      </c>
      <c r="I122" s="39">
        <f t="shared" si="36"/>
        <v>0</v>
      </c>
      <c r="J122"/>
      <c r="K122" s="38">
        <f t="shared" si="76"/>
        <v>13</v>
      </c>
      <c r="L122" s="35">
        <f t="shared" si="42"/>
        <v>44197</v>
      </c>
      <c r="M122" s="36">
        <f t="shared" si="43"/>
        <v>0</v>
      </c>
      <c r="N122" s="36">
        <f t="shared" si="37"/>
        <v>0</v>
      </c>
      <c r="O122" s="36">
        <f t="shared" si="44"/>
        <v>0</v>
      </c>
      <c r="P122" s="36">
        <f t="shared" si="56"/>
        <v>0</v>
      </c>
      <c r="Q122" s="36">
        <f t="shared" si="45"/>
        <v>0</v>
      </c>
      <c r="R122" s="39">
        <f t="shared" si="46"/>
        <v>0</v>
      </c>
      <c r="S122"/>
      <c r="T122" s="38">
        <f t="shared" si="77"/>
        <v>13</v>
      </c>
      <c r="U122" s="35" t="str">
        <f t="shared" si="47"/>
        <v>0</v>
      </c>
      <c r="V122" s="36">
        <f t="shared" si="48"/>
        <v>0</v>
      </c>
      <c r="W122" s="36">
        <f t="shared" si="38"/>
        <v>0</v>
      </c>
      <c r="X122" s="37">
        <f t="shared" si="49"/>
        <v>0</v>
      </c>
      <c r="Y122" s="36">
        <f t="shared" si="57"/>
        <v>0</v>
      </c>
      <c r="Z122" s="36">
        <f t="shared" si="50"/>
        <v>0</v>
      </c>
      <c r="AA122" s="39">
        <f t="shared" si="51"/>
        <v>0</v>
      </c>
      <c r="AC122" s="38">
        <f t="shared" si="78"/>
        <v>13</v>
      </c>
      <c r="AD122" s="35">
        <f t="shared" si="58"/>
        <v>44197</v>
      </c>
      <c r="AE122" s="36">
        <f t="shared" si="59"/>
        <v>0</v>
      </c>
      <c r="AF122" s="36">
        <f t="shared" si="52"/>
        <v>0</v>
      </c>
      <c r="AG122" s="37">
        <f t="shared" si="53"/>
        <v>0</v>
      </c>
      <c r="AH122" s="36">
        <f t="shared" si="60"/>
        <v>0</v>
      </c>
      <c r="AI122" s="36">
        <f t="shared" si="61"/>
        <v>0</v>
      </c>
      <c r="AJ122" s="39">
        <f t="shared" si="62"/>
        <v>0</v>
      </c>
      <c r="AL122" s="38">
        <f t="shared" si="79"/>
        <v>13</v>
      </c>
      <c r="AM122" s="35">
        <f t="shared" si="63"/>
        <v>44197</v>
      </c>
      <c r="AN122" s="36">
        <f t="shared" si="64"/>
        <v>0</v>
      </c>
      <c r="AO122" s="36">
        <f t="shared" si="54"/>
        <v>0</v>
      </c>
      <c r="AP122" s="37">
        <f t="shared" si="65"/>
        <v>0</v>
      </c>
      <c r="AQ122" s="36">
        <f t="shared" si="66"/>
        <v>0</v>
      </c>
      <c r="AR122" s="36">
        <f t="shared" si="67"/>
        <v>0</v>
      </c>
      <c r="AS122" s="39">
        <f t="shared" si="68"/>
        <v>0</v>
      </c>
      <c r="AU122" s="38">
        <f t="shared" si="80"/>
        <v>13</v>
      </c>
      <c r="AV122" s="35" t="str">
        <f t="shared" si="69"/>
        <v>0</v>
      </c>
      <c r="AW122" s="36">
        <f t="shared" si="70"/>
        <v>0</v>
      </c>
      <c r="AX122" s="36">
        <f t="shared" si="55"/>
        <v>0</v>
      </c>
      <c r="AY122" s="37">
        <f t="shared" si="71"/>
        <v>0</v>
      </c>
      <c r="AZ122" s="36">
        <f t="shared" si="72"/>
        <v>0</v>
      </c>
      <c r="BA122" s="36">
        <f t="shared" si="73"/>
        <v>0</v>
      </c>
      <c r="BB122" s="39">
        <f t="shared" si="74"/>
        <v>0</v>
      </c>
    </row>
    <row r="123" spans="2:54" x14ac:dyDescent="0.2">
      <c r="B123" s="65">
        <v>14</v>
      </c>
      <c r="C123" s="35">
        <f t="shared" si="39"/>
        <v>44228</v>
      </c>
      <c r="D123" s="36">
        <f t="shared" si="40"/>
        <v>0</v>
      </c>
      <c r="E123" s="36">
        <f t="shared" si="34"/>
        <v>0</v>
      </c>
      <c r="F123" s="36">
        <f t="shared" si="41"/>
        <v>0</v>
      </c>
      <c r="G123" s="36">
        <f t="shared" si="75"/>
        <v>0</v>
      </c>
      <c r="H123" s="36">
        <f t="shared" si="35"/>
        <v>0</v>
      </c>
      <c r="I123" s="39">
        <f t="shared" si="36"/>
        <v>0</v>
      </c>
      <c r="K123" s="38">
        <f t="shared" si="76"/>
        <v>14</v>
      </c>
      <c r="L123" s="35">
        <f t="shared" si="42"/>
        <v>44228</v>
      </c>
      <c r="M123" s="36">
        <f t="shared" si="43"/>
        <v>0</v>
      </c>
      <c r="N123" s="36">
        <f t="shared" si="37"/>
        <v>0</v>
      </c>
      <c r="O123" s="36">
        <f t="shared" si="44"/>
        <v>0</v>
      </c>
      <c r="P123" s="36">
        <f t="shared" si="56"/>
        <v>0</v>
      </c>
      <c r="Q123" s="36">
        <f t="shared" si="45"/>
        <v>0</v>
      </c>
      <c r="R123" s="39">
        <f t="shared" si="46"/>
        <v>0</v>
      </c>
      <c r="T123" s="38">
        <f t="shared" si="77"/>
        <v>14</v>
      </c>
      <c r="U123" s="35" t="str">
        <f t="shared" si="47"/>
        <v>0</v>
      </c>
      <c r="V123" s="36">
        <f t="shared" si="48"/>
        <v>0</v>
      </c>
      <c r="W123" s="36">
        <f t="shared" si="38"/>
        <v>0</v>
      </c>
      <c r="X123" s="37">
        <f t="shared" si="49"/>
        <v>0</v>
      </c>
      <c r="Y123" s="36">
        <f t="shared" si="57"/>
        <v>0</v>
      </c>
      <c r="Z123" s="36">
        <f t="shared" si="50"/>
        <v>0</v>
      </c>
      <c r="AA123" s="39">
        <f t="shared" si="51"/>
        <v>0</v>
      </c>
      <c r="AB123" s="41"/>
      <c r="AC123" s="38">
        <f t="shared" si="78"/>
        <v>14</v>
      </c>
      <c r="AD123" s="35">
        <f t="shared" si="58"/>
        <v>44228</v>
      </c>
      <c r="AE123" s="36">
        <f t="shared" si="59"/>
        <v>0</v>
      </c>
      <c r="AF123" s="36">
        <f t="shared" si="52"/>
        <v>0</v>
      </c>
      <c r="AG123" s="37">
        <f t="shared" si="53"/>
        <v>0</v>
      </c>
      <c r="AH123" s="36">
        <f t="shared" si="60"/>
        <v>0</v>
      </c>
      <c r="AI123" s="36">
        <f t="shared" si="61"/>
        <v>0</v>
      </c>
      <c r="AJ123" s="39">
        <f t="shared" si="62"/>
        <v>0</v>
      </c>
      <c r="AL123" s="38">
        <f t="shared" si="79"/>
        <v>14</v>
      </c>
      <c r="AM123" s="35">
        <f t="shared" si="63"/>
        <v>44228</v>
      </c>
      <c r="AN123" s="36">
        <f t="shared" si="64"/>
        <v>0</v>
      </c>
      <c r="AO123" s="36">
        <f t="shared" si="54"/>
        <v>0</v>
      </c>
      <c r="AP123" s="37">
        <f t="shared" si="65"/>
        <v>0</v>
      </c>
      <c r="AQ123" s="36">
        <f t="shared" si="66"/>
        <v>0</v>
      </c>
      <c r="AR123" s="36">
        <f t="shared" si="67"/>
        <v>0</v>
      </c>
      <c r="AS123" s="39">
        <f t="shared" si="68"/>
        <v>0</v>
      </c>
      <c r="AU123" s="38">
        <f t="shared" si="80"/>
        <v>14</v>
      </c>
      <c r="AV123" s="35" t="str">
        <f t="shared" si="69"/>
        <v>0</v>
      </c>
      <c r="AW123" s="36">
        <f t="shared" si="70"/>
        <v>0</v>
      </c>
      <c r="AX123" s="36">
        <f t="shared" si="55"/>
        <v>0</v>
      </c>
      <c r="AY123" s="37">
        <f t="shared" si="71"/>
        <v>0</v>
      </c>
      <c r="AZ123" s="36">
        <f t="shared" si="72"/>
        <v>0</v>
      </c>
      <c r="BA123" s="36">
        <f t="shared" si="73"/>
        <v>0</v>
      </c>
      <c r="BB123" s="39">
        <f t="shared" si="74"/>
        <v>0</v>
      </c>
    </row>
    <row r="124" spans="2:54" x14ac:dyDescent="0.2">
      <c r="B124" s="65">
        <v>15</v>
      </c>
      <c r="C124" s="35">
        <f t="shared" si="39"/>
        <v>44256</v>
      </c>
      <c r="D124" s="36">
        <f t="shared" si="40"/>
        <v>0</v>
      </c>
      <c r="E124" s="36">
        <f t="shared" si="34"/>
        <v>0</v>
      </c>
      <c r="F124" s="36">
        <f t="shared" si="41"/>
        <v>0</v>
      </c>
      <c r="G124" s="36">
        <f t="shared" si="75"/>
        <v>0</v>
      </c>
      <c r="H124" s="36">
        <f t="shared" si="35"/>
        <v>0</v>
      </c>
      <c r="I124" s="39">
        <f t="shared" si="36"/>
        <v>0</v>
      </c>
      <c r="K124" s="38">
        <f t="shared" si="76"/>
        <v>15</v>
      </c>
      <c r="L124" s="35">
        <f t="shared" si="42"/>
        <v>44256</v>
      </c>
      <c r="M124" s="36">
        <f t="shared" si="43"/>
        <v>0</v>
      </c>
      <c r="N124" s="36">
        <f t="shared" si="37"/>
        <v>0</v>
      </c>
      <c r="O124" s="36">
        <f t="shared" si="44"/>
        <v>0</v>
      </c>
      <c r="P124" s="36">
        <f t="shared" si="56"/>
        <v>0</v>
      </c>
      <c r="Q124" s="36">
        <f t="shared" si="45"/>
        <v>0</v>
      </c>
      <c r="R124" s="39">
        <f t="shared" si="46"/>
        <v>0</v>
      </c>
      <c r="T124" s="38">
        <f t="shared" si="77"/>
        <v>15</v>
      </c>
      <c r="U124" s="35" t="str">
        <f t="shared" si="47"/>
        <v>0</v>
      </c>
      <c r="V124" s="36">
        <f t="shared" si="48"/>
        <v>0</v>
      </c>
      <c r="W124" s="36">
        <f t="shared" si="38"/>
        <v>0</v>
      </c>
      <c r="X124" s="37">
        <f t="shared" si="49"/>
        <v>0</v>
      </c>
      <c r="Y124" s="36">
        <f t="shared" si="57"/>
        <v>0</v>
      </c>
      <c r="Z124" s="36">
        <f t="shared" si="50"/>
        <v>0</v>
      </c>
      <c r="AA124" s="39">
        <f t="shared" si="51"/>
        <v>0</v>
      </c>
      <c r="AB124" s="41"/>
      <c r="AC124" s="38">
        <f t="shared" si="78"/>
        <v>15</v>
      </c>
      <c r="AD124" s="35">
        <f t="shared" si="58"/>
        <v>44256</v>
      </c>
      <c r="AE124" s="36">
        <f t="shared" si="59"/>
        <v>0</v>
      </c>
      <c r="AF124" s="36">
        <f t="shared" si="52"/>
        <v>0</v>
      </c>
      <c r="AG124" s="37">
        <f t="shared" si="53"/>
        <v>0</v>
      </c>
      <c r="AH124" s="36">
        <f t="shared" si="60"/>
        <v>0</v>
      </c>
      <c r="AI124" s="36">
        <f t="shared" si="61"/>
        <v>0</v>
      </c>
      <c r="AJ124" s="39">
        <f t="shared" si="62"/>
        <v>0</v>
      </c>
      <c r="AL124" s="38">
        <f t="shared" si="79"/>
        <v>15</v>
      </c>
      <c r="AM124" s="35">
        <f t="shared" si="63"/>
        <v>44256</v>
      </c>
      <c r="AN124" s="36">
        <f t="shared" si="64"/>
        <v>0</v>
      </c>
      <c r="AO124" s="36">
        <f t="shared" si="54"/>
        <v>0</v>
      </c>
      <c r="AP124" s="37">
        <f t="shared" si="65"/>
        <v>0</v>
      </c>
      <c r="AQ124" s="36">
        <f t="shared" si="66"/>
        <v>0</v>
      </c>
      <c r="AR124" s="36">
        <f t="shared" si="67"/>
        <v>0</v>
      </c>
      <c r="AS124" s="39">
        <f t="shared" si="68"/>
        <v>0</v>
      </c>
      <c r="AU124" s="38">
        <f t="shared" si="80"/>
        <v>15</v>
      </c>
      <c r="AV124" s="35" t="str">
        <f t="shared" si="69"/>
        <v>0</v>
      </c>
      <c r="AW124" s="36">
        <f t="shared" si="70"/>
        <v>0</v>
      </c>
      <c r="AX124" s="36">
        <f t="shared" si="55"/>
        <v>0</v>
      </c>
      <c r="AY124" s="37">
        <f t="shared" si="71"/>
        <v>0</v>
      </c>
      <c r="AZ124" s="36">
        <f t="shared" si="72"/>
        <v>0</v>
      </c>
      <c r="BA124" s="36">
        <f t="shared" si="73"/>
        <v>0</v>
      </c>
      <c r="BB124" s="39">
        <f t="shared" si="74"/>
        <v>0</v>
      </c>
    </row>
    <row r="125" spans="2:54" x14ac:dyDescent="0.2">
      <c r="B125" s="65">
        <v>16</v>
      </c>
      <c r="C125" s="35">
        <f t="shared" si="39"/>
        <v>44287</v>
      </c>
      <c r="D125" s="36">
        <f t="shared" si="40"/>
        <v>0</v>
      </c>
      <c r="E125" s="36">
        <f t="shared" si="34"/>
        <v>0</v>
      </c>
      <c r="F125" s="36">
        <f t="shared" si="41"/>
        <v>0</v>
      </c>
      <c r="G125" s="36">
        <f t="shared" si="75"/>
        <v>0</v>
      </c>
      <c r="H125" s="36">
        <f t="shared" si="35"/>
        <v>0</v>
      </c>
      <c r="I125" s="39">
        <f t="shared" si="36"/>
        <v>0</v>
      </c>
      <c r="K125" s="38">
        <f t="shared" si="76"/>
        <v>16</v>
      </c>
      <c r="L125" s="35">
        <f t="shared" si="42"/>
        <v>44287</v>
      </c>
      <c r="M125" s="36">
        <f t="shared" si="43"/>
        <v>0</v>
      </c>
      <c r="N125" s="36">
        <f t="shared" si="37"/>
        <v>0</v>
      </c>
      <c r="O125" s="36">
        <f t="shared" si="44"/>
        <v>0</v>
      </c>
      <c r="P125" s="36">
        <f t="shared" si="56"/>
        <v>0</v>
      </c>
      <c r="Q125" s="36">
        <f t="shared" si="45"/>
        <v>0</v>
      </c>
      <c r="R125" s="39">
        <f t="shared" si="46"/>
        <v>0</v>
      </c>
      <c r="T125" s="38">
        <f t="shared" si="77"/>
        <v>16</v>
      </c>
      <c r="U125" s="35" t="str">
        <f t="shared" si="47"/>
        <v>0</v>
      </c>
      <c r="V125" s="36">
        <f t="shared" si="48"/>
        <v>0</v>
      </c>
      <c r="W125" s="36">
        <f t="shared" si="38"/>
        <v>0</v>
      </c>
      <c r="X125" s="37">
        <f t="shared" si="49"/>
        <v>0</v>
      </c>
      <c r="Y125" s="36">
        <f t="shared" si="57"/>
        <v>0</v>
      </c>
      <c r="Z125" s="36">
        <f t="shared" si="50"/>
        <v>0</v>
      </c>
      <c r="AA125" s="39">
        <f t="shared" si="51"/>
        <v>0</v>
      </c>
      <c r="AB125" s="41"/>
      <c r="AC125" s="38">
        <f t="shared" si="78"/>
        <v>16</v>
      </c>
      <c r="AD125" s="35">
        <f t="shared" si="58"/>
        <v>44287</v>
      </c>
      <c r="AE125" s="36">
        <f t="shared" si="59"/>
        <v>0</v>
      </c>
      <c r="AF125" s="36">
        <f t="shared" si="52"/>
        <v>0</v>
      </c>
      <c r="AG125" s="37">
        <f t="shared" si="53"/>
        <v>0</v>
      </c>
      <c r="AH125" s="36">
        <f t="shared" si="60"/>
        <v>0</v>
      </c>
      <c r="AI125" s="36">
        <f t="shared" si="61"/>
        <v>0</v>
      </c>
      <c r="AJ125" s="39">
        <f t="shared" si="62"/>
        <v>0</v>
      </c>
      <c r="AL125" s="38">
        <f t="shared" si="79"/>
        <v>16</v>
      </c>
      <c r="AM125" s="35">
        <f t="shared" si="63"/>
        <v>44287</v>
      </c>
      <c r="AN125" s="36">
        <f t="shared" si="64"/>
        <v>0</v>
      </c>
      <c r="AO125" s="36">
        <f t="shared" si="54"/>
        <v>0</v>
      </c>
      <c r="AP125" s="37">
        <f t="shared" si="65"/>
        <v>0</v>
      </c>
      <c r="AQ125" s="36">
        <f t="shared" si="66"/>
        <v>0</v>
      </c>
      <c r="AR125" s="36">
        <f t="shared" si="67"/>
        <v>0</v>
      </c>
      <c r="AS125" s="39">
        <f t="shared" si="68"/>
        <v>0</v>
      </c>
      <c r="AU125" s="38">
        <f t="shared" si="80"/>
        <v>16</v>
      </c>
      <c r="AV125" s="35" t="str">
        <f t="shared" si="69"/>
        <v>0</v>
      </c>
      <c r="AW125" s="36">
        <f t="shared" si="70"/>
        <v>0</v>
      </c>
      <c r="AX125" s="36">
        <f t="shared" si="55"/>
        <v>0</v>
      </c>
      <c r="AY125" s="37">
        <f t="shared" si="71"/>
        <v>0</v>
      </c>
      <c r="AZ125" s="36">
        <f t="shared" si="72"/>
        <v>0</v>
      </c>
      <c r="BA125" s="36">
        <f t="shared" si="73"/>
        <v>0</v>
      </c>
      <c r="BB125" s="39">
        <f t="shared" si="74"/>
        <v>0</v>
      </c>
    </row>
    <row r="126" spans="2:54" x14ac:dyDescent="0.2">
      <c r="B126" s="65">
        <v>17</v>
      </c>
      <c r="C126" s="35">
        <f t="shared" si="39"/>
        <v>44317</v>
      </c>
      <c r="D126" s="36">
        <f t="shared" si="40"/>
        <v>0</v>
      </c>
      <c r="E126" s="36">
        <f t="shared" si="34"/>
        <v>0</v>
      </c>
      <c r="F126" s="36">
        <f t="shared" si="41"/>
        <v>0</v>
      </c>
      <c r="G126" s="36">
        <f t="shared" si="75"/>
        <v>0</v>
      </c>
      <c r="H126" s="36">
        <f t="shared" si="35"/>
        <v>0</v>
      </c>
      <c r="I126" s="39">
        <f t="shared" si="36"/>
        <v>0</v>
      </c>
      <c r="K126" s="38">
        <f t="shared" si="76"/>
        <v>17</v>
      </c>
      <c r="L126" s="35">
        <f t="shared" si="42"/>
        <v>44317</v>
      </c>
      <c r="M126" s="36">
        <f t="shared" si="43"/>
        <v>0</v>
      </c>
      <c r="N126" s="36">
        <f t="shared" si="37"/>
        <v>0</v>
      </c>
      <c r="O126" s="36">
        <f t="shared" si="44"/>
        <v>0</v>
      </c>
      <c r="P126" s="36">
        <f t="shared" si="56"/>
        <v>0</v>
      </c>
      <c r="Q126" s="36">
        <f t="shared" si="45"/>
        <v>0</v>
      </c>
      <c r="R126" s="39">
        <f t="shared" si="46"/>
        <v>0</v>
      </c>
      <c r="T126" s="38">
        <f t="shared" si="77"/>
        <v>17</v>
      </c>
      <c r="U126" s="35" t="str">
        <f t="shared" si="47"/>
        <v>0</v>
      </c>
      <c r="V126" s="36">
        <f t="shared" si="48"/>
        <v>0</v>
      </c>
      <c r="W126" s="36">
        <f t="shared" si="38"/>
        <v>0</v>
      </c>
      <c r="X126" s="37">
        <f t="shared" si="49"/>
        <v>0</v>
      </c>
      <c r="Y126" s="36">
        <f t="shared" si="57"/>
        <v>0</v>
      </c>
      <c r="Z126" s="36">
        <f t="shared" si="50"/>
        <v>0</v>
      </c>
      <c r="AA126" s="39">
        <f t="shared" si="51"/>
        <v>0</v>
      </c>
      <c r="AB126" s="41"/>
      <c r="AC126" s="38">
        <f t="shared" si="78"/>
        <v>17</v>
      </c>
      <c r="AD126" s="35">
        <f t="shared" si="58"/>
        <v>44317</v>
      </c>
      <c r="AE126" s="36">
        <f t="shared" si="59"/>
        <v>0</v>
      </c>
      <c r="AF126" s="36">
        <f t="shared" si="52"/>
        <v>0</v>
      </c>
      <c r="AG126" s="37">
        <f t="shared" si="53"/>
        <v>0</v>
      </c>
      <c r="AH126" s="36">
        <f t="shared" si="60"/>
        <v>0</v>
      </c>
      <c r="AI126" s="36">
        <f t="shared" si="61"/>
        <v>0</v>
      </c>
      <c r="AJ126" s="39">
        <f t="shared" si="62"/>
        <v>0</v>
      </c>
      <c r="AL126" s="38">
        <f t="shared" si="79"/>
        <v>17</v>
      </c>
      <c r="AM126" s="35">
        <f t="shared" si="63"/>
        <v>44317</v>
      </c>
      <c r="AN126" s="36">
        <f t="shared" si="64"/>
        <v>0</v>
      </c>
      <c r="AO126" s="36">
        <f t="shared" si="54"/>
        <v>0</v>
      </c>
      <c r="AP126" s="37">
        <f t="shared" si="65"/>
        <v>0</v>
      </c>
      <c r="AQ126" s="36">
        <f t="shared" si="66"/>
        <v>0</v>
      </c>
      <c r="AR126" s="36">
        <f t="shared" si="67"/>
        <v>0</v>
      </c>
      <c r="AS126" s="39">
        <f t="shared" si="68"/>
        <v>0</v>
      </c>
      <c r="AU126" s="38">
        <f t="shared" si="80"/>
        <v>17</v>
      </c>
      <c r="AV126" s="35" t="str">
        <f t="shared" si="69"/>
        <v>0</v>
      </c>
      <c r="AW126" s="36">
        <f t="shared" si="70"/>
        <v>0</v>
      </c>
      <c r="AX126" s="36">
        <f t="shared" si="55"/>
        <v>0</v>
      </c>
      <c r="AY126" s="37">
        <f t="shared" si="71"/>
        <v>0</v>
      </c>
      <c r="AZ126" s="36">
        <f t="shared" si="72"/>
        <v>0</v>
      </c>
      <c r="BA126" s="36">
        <f t="shared" si="73"/>
        <v>0</v>
      </c>
      <c r="BB126" s="39">
        <f t="shared" si="74"/>
        <v>0</v>
      </c>
    </row>
    <row r="127" spans="2:54" x14ac:dyDescent="0.2">
      <c r="B127" s="65">
        <v>18</v>
      </c>
      <c r="C127" s="35">
        <f t="shared" si="39"/>
        <v>44348</v>
      </c>
      <c r="D127" s="36">
        <f t="shared" si="40"/>
        <v>0</v>
      </c>
      <c r="E127" s="36">
        <f t="shared" si="34"/>
        <v>0</v>
      </c>
      <c r="F127" s="36">
        <f t="shared" si="41"/>
        <v>0</v>
      </c>
      <c r="G127" s="36">
        <f t="shared" si="75"/>
        <v>0</v>
      </c>
      <c r="H127" s="36">
        <f t="shared" si="35"/>
        <v>0</v>
      </c>
      <c r="I127" s="39">
        <f t="shared" si="36"/>
        <v>0</v>
      </c>
      <c r="K127" s="38">
        <f t="shared" si="76"/>
        <v>18</v>
      </c>
      <c r="L127" s="35">
        <f t="shared" si="42"/>
        <v>44348</v>
      </c>
      <c r="M127" s="36">
        <f t="shared" si="43"/>
        <v>0</v>
      </c>
      <c r="N127" s="36">
        <f t="shared" si="37"/>
        <v>0</v>
      </c>
      <c r="O127" s="36">
        <f t="shared" si="44"/>
        <v>0</v>
      </c>
      <c r="P127" s="36">
        <f t="shared" si="56"/>
        <v>0</v>
      </c>
      <c r="Q127" s="36">
        <f t="shared" si="45"/>
        <v>0</v>
      </c>
      <c r="R127" s="39">
        <f t="shared" si="46"/>
        <v>0</v>
      </c>
      <c r="T127" s="38">
        <f t="shared" si="77"/>
        <v>18</v>
      </c>
      <c r="U127" s="35" t="str">
        <f t="shared" si="47"/>
        <v>0</v>
      </c>
      <c r="V127" s="36">
        <f t="shared" si="48"/>
        <v>0</v>
      </c>
      <c r="W127" s="36">
        <f t="shared" si="38"/>
        <v>0</v>
      </c>
      <c r="X127" s="37">
        <f t="shared" si="49"/>
        <v>0</v>
      </c>
      <c r="Y127" s="36">
        <f t="shared" si="57"/>
        <v>0</v>
      </c>
      <c r="Z127" s="36">
        <f t="shared" si="50"/>
        <v>0</v>
      </c>
      <c r="AA127" s="39">
        <f t="shared" si="51"/>
        <v>0</v>
      </c>
      <c r="AB127" s="41"/>
      <c r="AC127" s="38">
        <f t="shared" si="78"/>
        <v>18</v>
      </c>
      <c r="AD127" s="35">
        <f t="shared" si="58"/>
        <v>44348</v>
      </c>
      <c r="AE127" s="36">
        <f t="shared" si="59"/>
        <v>0</v>
      </c>
      <c r="AF127" s="36">
        <f t="shared" si="52"/>
        <v>0</v>
      </c>
      <c r="AG127" s="37">
        <f t="shared" si="53"/>
        <v>0</v>
      </c>
      <c r="AH127" s="36">
        <f t="shared" si="60"/>
        <v>0</v>
      </c>
      <c r="AI127" s="36">
        <f t="shared" si="61"/>
        <v>0</v>
      </c>
      <c r="AJ127" s="39">
        <f t="shared" si="62"/>
        <v>0</v>
      </c>
      <c r="AL127" s="38">
        <f t="shared" si="79"/>
        <v>18</v>
      </c>
      <c r="AM127" s="35">
        <f t="shared" si="63"/>
        <v>44348</v>
      </c>
      <c r="AN127" s="36">
        <f t="shared" si="64"/>
        <v>0</v>
      </c>
      <c r="AO127" s="36">
        <f t="shared" si="54"/>
        <v>0</v>
      </c>
      <c r="AP127" s="37">
        <f t="shared" si="65"/>
        <v>0</v>
      </c>
      <c r="AQ127" s="36">
        <f t="shared" si="66"/>
        <v>0</v>
      </c>
      <c r="AR127" s="36">
        <f t="shared" si="67"/>
        <v>0</v>
      </c>
      <c r="AS127" s="39">
        <f t="shared" si="68"/>
        <v>0</v>
      </c>
      <c r="AU127" s="38">
        <f t="shared" si="80"/>
        <v>18</v>
      </c>
      <c r="AV127" s="35" t="str">
        <f t="shared" si="69"/>
        <v>0</v>
      </c>
      <c r="AW127" s="36">
        <f t="shared" si="70"/>
        <v>0</v>
      </c>
      <c r="AX127" s="36">
        <f t="shared" si="55"/>
        <v>0</v>
      </c>
      <c r="AY127" s="37">
        <f t="shared" si="71"/>
        <v>0</v>
      </c>
      <c r="AZ127" s="36">
        <f t="shared" si="72"/>
        <v>0</v>
      </c>
      <c r="BA127" s="36">
        <f t="shared" si="73"/>
        <v>0</v>
      </c>
      <c r="BB127" s="39">
        <f t="shared" si="74"/>
        <v>0</v>
      </c>
    </row>
    <row r="128" spans="2:54" x14ac:dyDescent="0.2">
      <c r="B128" s="65">
        <v>19</v>
      </c>
      <c r="C128" s="35">
        <f t="shared" si="39"/>
        <v>44378</v>
      </c>
      <c r="D128" s="36">
        <f t="shared" si="40"/>
        <v>0</v>
      </c>
      <c r="E128" s="36">
        <f t="shared" si="34"/>
        <v>0</v>
      </c>
      <c r="F128" s="36">
        <f t="shared" si="41"/>
        <v>0</v>
      </c>
      <c r="G128" s="36">
        <f t="shared" si="75"/>
        <v>0</v>
      </c>
      <c r="H128" s="36">
        <f t="shared" si="35"/>
        <v>0</v>
      </c>
      <c r="I128" s="39">
        <f t="shared" si="36"/>
        <v>0</v>
      </c>
      <c r="K128" s="38">
        <f t="shared" si="76"/>
        <v>19</v>
      </c>
      <c r="L128" s="35">
        <f t="shared" si="42"/>
        <v>44378</v>
      </c>
      <c r="M128" s="36">
        <f t="shared" si="43"/>
        <v>0</v>
      </c>
      <c r="N128" s="36">
        <f t="shared" si="37"/>
        <v>0</v>
      </c>
      <c r="O128" s="36">
        <f t="shared" si="44"/>
        <v>0</v>
      </c>
      <c r="P128" s="36">
        <f t="shared" si="56"/>
        <v>0</v>
      </c>
      <c r="Q128" s="36">
        <f t="shared" si="45"/>
        <v>0</v>
      </c>
      <c r="R128" s="39">
        <f t="shared" si="46"/>
        <v>0</v>
      </c>
      <c r="T128" s="38">
        <f t="shared" si="77"/>
        <v>19</v>
      </c>
      <c r="U128" s="35" t="str">
        <f t="shared" si="47"/>
        <v>0</v>
      </c>
      <c r="V128" s="36">
        <f t="shared" si="48"/>
        <v>0</v>
      </c>
      <c r="W128" s="36">
        <f t="shared" si="38"/>
        <v>0</v>
      </c>
      <c r="X128" s="37">
        <f t="shared" si="49"/>
        <v>0</v>
      </c>
      <c r="Y128" s="36">
        <f t="shared" si="57"/>
        <v>0</v>
      </c>
      <c r="Z128" s="36">
        <f t="shared" si="50"/>
        <v>0</v>
      </c>
      <c r="AA128" s="39">
        <f t="shared" si="51"/>
        <v>0</v>
      </c>
      <c r="AB128" s="41"/>
      <c r="AC128" s="38">
        <f t="shared" si="78"/>
        <v>19</v>
      </c>
      <c r="AD128" s="35">
        <f t="shared" si="58"/>
        <v>44378</v>
      </c>
      <c r="AE128" s="36">
        <f t="shared" si="59"/>
        <v>0</v>
      </c>
      <c r="AF128" s="36">
        <f t="shared" si="52"/>
        <v>0</v>
      </c>
      <c r="AG128" s="37">
        <f t="shared" si="53"/>
        <v>0</v>
      </c>
      <c r="AH128" s="36">
        <f t="shared" si="60"/>
        <v>0</v>
      </c>
      <c r="AI128" s="36">
        <f t="shared" si="61"/>
        <v>0</v>
      </c>
      <c r="AJ128" s="39">
        <f t="shared" si="62"/>
        <v>0</v>
      </c>
      <c r="AL128" s="38">
        <f t="shared" si="79"/>
        <v>19</v>
      </c>
      <c r="AM128" s="35">
        <f t="shared" si="63"/>
        <v>44378</v>
      </c>
      <c r="AN128" s="36">
        <f t="shared" si="64"/>
        <v>0</v>
      </c>
      <c r="AO128" s="36">
        <f t="shared" si="54"/>
        <v>0</v>
      </c>
      <c r="AP128" s="37">
        <f t="shared" si="65"/>
        <v>0</v>
      </c>
      <c r="AQ128" s="36">
        <f t="shared" si="66"/>
        <v>0</v>
      </c>
      <c r="AR128" s="36">
        <f t="shared" si="67"/>
        <v>0</v>
      </c>
      <c r="AS128" s="39">
        <f t="shared" si="68"/>
        <v>0</v>
      </c>
      <c r="AU128" s="38">
        <f t="shared" si="80"/>
        <v>19</v>
      </c>
      <c r="AV128" s="35" t="str">
        <f t="shared" si="69"/>
        <v>0</v>
      </c>
      <c r="AW128" s="36">
        <f t="shared" si="70"/>
        <v>0</v>
      </c>
      <c r="AX128" s="36">
        <f t="shared" si="55"/>
        <v>0</v>
      </c>
      <c r="AY128" s="37">
        <f t="shared" si="71"/>
        <v>0</v>
      </c>
      <c r="AZ128" s="36">
        <f t="shared" si="72"/>
        <v>0</v>
      </c>
      <c r="BA128" s="36">
        <f t="shared" si="73"/>
        <v>0</v>
      </c>
      <c r="BB128" s="39">
        <f t="shared" si="74"/>
        <v>0</v>
      </c>
    </row>
    <row r="129" spans="2:54" x14ac:dyDescent="0.2">
      <c r="B129" s="65">
        <v>20</v>
      </c>
      <c r="C129" s="35">
        <f t="shared" si="39"/>
        <v>44409</v>
      </c>
      <c r="D129" s="36">
        <f t="shared" si="40"/>
        <v>0</v>
      </c>
      <c r="E129" s="36">
        <f t="shared" si="34"/>
        <v>0</v>
      </c>
      <c r="F129" s="36">
        <f t="shared" si="41"/>
        <v>0</v>
      </c>
      <c r="G129" s="36">
        <f t="shared" si="75"/>
        <v>0</v>
      </c>
      <c r="H129" s="36">
        <f t="shared" si="35"/>
        <v>0</v>
      </c>
      <c r="I129" s="39">
        <f t="shared" si="36"/>
        <v>0</v>
      </c>
      <c r="K129" s="38">
        <f t="shared" si="76"/>
        <v>20</v>
      </c>
      <c r="L129" s="35">
        <f t="shared" si="42"/>
        <v>44409</v>
      </c>
      <c r="M129" s="36">
        <f t="shared" si="43"/>
        <v>0</v>
      </c>
      <c r="N129" s="36">
        <f t="shared" si="37"/>
        <v>0</v>
      </c>
      <c r="O129" s="36">
        <f t="shared" si="44"/>
        <v>0</v>
      </c>
      <c r="P129" s="36">
        <f t="shared" si="56"/>
        <v>0</v>
      </c>
      <c r="Q129" s="36">
        <f t="shared" si="45"/>
        <v>0</v>
      </c>
      <c r="R129" s="39">
        <f t="shared" si="46"/>
        <v>0</v>
      </c>
      <c r="T129" s="38">
        <f t="shared" si="77"/>
        <v>20</v>
      </c>
      <c r="U129" s="35" t="str">
        <f t="shared" si="47"/>
        <v>0</v>
      </c>
      <c r="V129" s="36">
        <f t="shared" si="48"/>
        <v>0</v>
      </c>
      <c r="W129" s="36">
        <f t="shared" si="38"/>
        <v>0</v>
      </c>
      <c r="X129" s="37">
        <f t="shared" si="49"/>
        <v>0</v>
      </c>
      <c r="Y129" s="36">
        <f t="shared" si="57"/>
        <v>0</v>
      </c>
      <c r="Z129" s="36">
        <f t="shared" si="50"/>
        <v>0</v>
      </c>
      <c r="AA129" s="39">
        <f t="shared" si="51"/>
        <v>0</v>
      </c>
      <c r="AB129" s="41"/>
      <c r="AC129" s="38">
        <f t="shared" si="78"/>
        <v>20</v>
      </c>
      <c r="AD129" s="35">
        <f t="shared" si="58"/>
        <v>44409</v>
      </c>
      <c r="AE129" s="36">
        <f t="shared" si="59"/>
        <v>0</v>
      </c>
      <c r="AF129" s="36">
        <f t="shared" si="52"/>
        <v>0</v>
      </c>
      <c r="AG129" s="37">
        <f t="shared" si="53"/>
        <v>0</v>
      </c>
      <c r="AH129" s="36">
        <f t="shared" si="60"/>
        <v>0</v>
      </c>
      <c r="AI129" s="36">
        <f t="shared" si="61"/>
        <v>0</v>
      </c>
      <c r="AJ129" s="39">
        <f t="shared" si="62"/>
        <v>0</v>
      </c>
      <c r="AL129" s="38">
        <f t="shared" si="79"/>
        <v>20</v>
      </c>
      <c r="AM129" s="35">
        <f t="shared" si="63"/>
        <v>44409</v>
      </c>
      <c r="AN129" s="36">
        <f t="shared" si="64"/>
        <v>0</v>
      </c>
      <c r="AO129" s="36">
        <f t="shared" si="54"/>
        <v>0</v>
      </c>
      <c r="AP129" s="37">
        <f t="shared" si="65"/>
        <v>0</v>
      </c>
      <c r="AQ129" s="36">
        <f t="shared" si="66"/>
        <v>0</v>
      </c>
      <c r="AR129" s="36">
        <f t="shared" si="67"/>
        <v>0</v>
      </c>
      <c r="AS129" s="39">
        <f t="shared" si="68"/>
        <v>0</v>
      </c>
      <c r="AU129" s="38">
        <f t="shared" si="80"/>
        <v>20</v>
      </c>
      <c r="AV129" s="35" t="str">
        <f t="shared" si="69"/>
        <v>0</v>
      </c>
      <c r="AW129" s="36">
        <f t="shared" si="70"/>
        <v>0</v>
      </c>
      <c r="AX129" s="36">
        <f t="shared" si="55"/>
        <v>0</v>
      </c>
      <c r="AY129" s="37">
        <f t="shared" si="71"/>
        <v>0</v>
      </c>
      <c r="AZ129" s="36">
        <f t="shared" si="72"/>
        <v>0</v>
      </c>
      <c r="BA129" s="36">
        <f t="shared" si="73"/>
        <v>0</v>
      </c>
      <c r="BB129" s="39">
        <f t="shared" si="74"/>
        <v>0</v>
      </c>
    </row>
    <row r="130" spans="2:54" x14ac:dyDescent="0.2">
      <c r="B130" s="65">
        <v>21</v>
      </c>
      <c r="C130" s="35">
        <f t="shared" si="39"/>
        <v>44440</v>
      </c>
      <c r="D130" s="36">
        <f t="shared" si="40"/>
        <v>0</v>
      </c>
      <c r="E130" s="36">
        <f t="shared" si="34"/>
        <v>0</v>
      </c>
      <c r="F130" s="36">
        <f t="shared" si="41"/>
        <v>0</v>
      </c>
      <c r="G130" s="36">
        <f t="shared" si="75"/>
        <v>0</v>
      </c>
      <c r="H130" s="36">
        <f t="shared" si="35"/>
        <v>0</v>
      </c>
      <c r="I130" s="39">
        <f t="shared" si="36"/>
        <v>0</v>
      </c>
      <c r="K130" s="38">
        <f t="shared" si="76"/>
        <v>21</v>
      </c>
      <c r="L130" s="35">
        <f t="shared" si="42"/>
        <v>44440</v>
      </c>
      <c r="M130" s="36">
        <f t="shared" si="43"/>
        <v>0</v>
      </c>
      <c r="N130" s="36">
        <f t="shared" si="37"/>
        <v>0</v>
      </c>
      <c r="O130" s="36">
        <f t="shared" si="44"/>
        <v>0</v>
      </c>
      <c r="P130" s="36">
        <f t="shared" si="56"/>
        <v>0</v>
      </c>
      <c r="Q130" s="36">
        <f t="shared" si="45"/>
        <v>0</v>
      </c>
      <c r="R130" s="39">
        <f t="shared" si="46"/>
        <v>0</v>
      </c>
      <c r="T130" s="38">
        <f t="shared" si="77"/>
        <v>21</v>
      </c>
      <c r="U130" s="35" t="str">
        <f t="shared" si="47"/>
        <v>0</v>
      </c>
      <c r="V130" s="36">
        <f t="shared" si="48"/>
        <v>0</v>
      </c>
      <c r="W130" s="36">
        <f t="shared" si="38"/>
        <v>0</v>
      </c>
      <c r="X130" s="37">
        <f t="shared" si="49"/>
        <v>0</v>
      </c>
      <c r="Y130" s="36">
        <f t="shared" si="57"/>
        <v>0</v>
      </c>
      <c r="Z130" s="36">
        <f t="shared" si="50"/>
        <v>0</v>
      </c>
      <c r="AA130" s="39">
        <f t="shared" si="51"/>
        <v>0</v>
      </c>
      <c r="AB130" s="41"/>
      <c r="AC130" s="38">
        <f t="shared" si="78"/>
        <v>21</v>
      </c>
      <c r="AD130" s="35">
        <f t="shared" si="58"/>
        <v>44440</v>
      </c>
      <c r="AE130" s="36">
        <f t="shared" si="59"/>
        <v>0</v>
      </c>
      <c r="AF130" s="36">
        <f t="shared" si="52"/>
        <v>0</v>
      </c>
      <c r="AG130" s="37">
        <f t="shared" si="53"/>
        <v>0</v>
      </c>
      <c r="AH130" s="36">
        <f t="shared" si="60"/>
        <v>0</v>
      </c>
      <c r="AI130" s="36">
        <f t="shared" si="61"/>
        <v>0</v>
      </c>
      <c r="AJ130" s="39">
        <f t="shared" si="62"/>
        <v>0</v>
      </c>
      <c r="AL130" s="38">
        <f t="shared" si="79"/>
        <v>21</v>
      </c>
      <c r="AM130" s="35">
        <f t="shared" si="63"/>
        <v>44440</v>
      </c>
      <c r="AN130" s="36">
        <f t="shared" si="64"/>
        <v>0</v>
      </c>
      <c r="AO130" s="36">
        <f t="shared" si="54"/>
        <v>0</v>
      </c>
      <c r="AP130" s="37">
        <f t="shared" si="65"/>
        <v>0</v>
      </c>
      <c r="AQ130" s="36">
        <f t="shared" si="66"/>
        <v>0</v>
      </c>
      <c r="AR130" s="36">
        <f t="shared" si="67"/>
        <v>0</v>
      </c>
      <c r="AS130" s="39">
        <f t="shared" si="68"/>
        <v>0</v>
      </c>
      <c r="AU130" s="38">
        <f t="shared" si="80"/>
        <v>21</v>
      </c>
      <c r="AV130" s="35" t="str">
        <f t="shared" si="69"/>
        <v>0</v>
      </c>
      <c r="AW130" s="36">
        <f t="shared" si="70"/>
        <v>0</v>
      </c>
      <c r="AX130" s="36">
        <f t="shared" si="55"/>
        <v>0</v>
      </c>
      <c r="AY130" s="37">
        <f t="shared" si="71"/>
        <v>0</v>
      </c>
      <c r="AZ130" s="36">
        <f t="shared" si="72"/>
        <v>0</v>
      </c>
      <c r="BA130" s="36">
        <f t="shared" si="73"/>
        <v>0</v>
      </c>
      <c r="BB130" s="39">
        <f t="shared" si="74"/>
        <v>0</v>
      </c>
    </row>
    <row r="131" spans="2:54" x14ac:dyDescent="0.2">
      <c r="B131" s="65">
        <v>22</v>
      </c>
      <c r="C131" s="35">
        <f t="shared" si="39"/>
        <v>44470</v>
      </c>
      <c r="D131" s="36">
        <f t="shared" si="40"/>
        <v>0</v>
      </c>
      <c r="E131" s="36">
        <f t="shared" si="34"/>
        <v>0</v>
      </c>
      <c r="F131" s="36">
        <f t="shared" si="41"/>
        <v>0</v>
      </c>
      <c r="G131" s="36">
        <f t="shared" si="75"/>
        <v>0</v>
      </c>
      <c r="H131" s="36">
        <f t="shared" si="35"/>
        <v>0</v>
      </c>
      <c r="I131" s="39">
        <f t="shared" si="36"/>
        <v>0</v>
      </c>
      <c r="K131" s="38">
        <f t="shared" si="76"/>
        <v>22</v>
      </c>
      <c r="L131" s="35">
        <f t="shared" si="42"/>
        <v>44470</v>
      </c>
      <c r="M131" s="36">
        <f t="shared" si="43"/>
        <v>0</v>
      </c>
      <c r="N131" s="36">
        <f t="shared" si="37"/>
        <v>0</v>
      </c>
      <c r="O131" s="36">
        <f t="shared" si="44"/>
        <v>0</v>
      </c>
      <c r="P131" s="36">
        <f t="shared" si="56"/>
        <v>0</v>
      </c>
      <c r="Q131" s="36">
        <f t="shared" si="45"/>
        <v>0</v>
      </c>
      <c r="R131" s="39">
        <f t="shared" si="46"/>
        <v>0</v>
      </c>
      <c r="T131" s="38">
        <f t="shared" si="77"/>
        <v>22</v>
      </c>
      <c r="U131" s="35" t="str">
        <f t="shared" si="47"/>
        <v>0</v>
      </c>
      <c r="V131" s="36">
        <f t="shared" si="48"/>
        <v>0</v>
      </c>
      <c r="W131" s="36">
        <f t="shared" si="38"/>
        <v>0</v>
      </c>
      <c r="X131" s="37">
        <f t="shared" si="49"/>
        <v>0</v>
      </c>
      <c r="Y131" s="36">
        <f t="shared" si="57"/>
        <v>0</v>
      </c>
      <c r="Z131" s="36">
        <f t="shared" si="50"/>
        <v>0</v>
      </c>
      <c r="AA131" s="39">
        <f t="shared" si="51"/>
        <v>0</v>
      </c>
      <c r="AB131" s="41"/>
      <c r="AC131" s="38">
        <f t="shared" si="78"/>
        <v>22</v>
      </c>
      <c r="AD131" s="35">
        <f t="shared" si="58"/>
        <v>44470</v>
      </c>
      <c r="AE131" s="36">
        <f t="shared" si="59"/>
        <v>0</v>
      </c>
      <c r="AF131" s="36">
        <f t="shared" si="52"/>
        <v>0</v>
      </c>
      <c r="AG131" s="37">
        <f t="shared" si="53"/>
        <v>0</v>
      </c>
      <c r="AH131" s="36">
        <f t="shared" si="60"/>
        <v>0</v>
      </c>
      <c r="AI131" s="36">
        <f t="shared" si="61"/>
        <v>0</v>
      </c>
      <c r="AJ131" s="39">
        <f t="shared" si="62"/>
        <v>0</v>
      </c>
      <c r="AL131" s="38">
        <f t="shared" si="79"/>
        <v>22</v>
      </c>
      <c r="AM131" s="35">
        <f t="shared" si="63"/>
        <v>44470</v>
      </c>
      <c r="AN131" s="36">
        <f t="shared" si="64"/>
        <v>0</v>
      </c>
      <c r="AO131" s="36">
        <f t="shared" si="54"/>
        <v>0</v>
      </c>
      <c r="AP131" s="37">
        <f t="shared" si="65"/>
        <v>0</v>
      </c>
      <c r="AQ131" s="36">
        <f t="shared" si="66"/>
        <v>0</v>
      </c>
      <c r="AR131" s="36">
        <f t="shared" si="67"/>
        <v>0</v>
      </c>
      <c r="AS131" s="39">
        <f t="shared" si="68"/>
        <v>0</v>
      </c>
      <c r="AU131" s="38">
        <f t="shared" si="80"/>
        <v>22</v>
      </c>
      <c r="AV131" s="35" t="str">
        <f t="shared" si="69"/>
        <v>0</v>
      </c>
      <c r="AW131" s="36">
        <f t="shared" si="70"/>
        <v>0</v>
      </c>
      <c r="AX131" s="36">
        <f t="shared" si="55"/>
        <v>0</v>
      </c>
      <c r="AY131" s="37">
        <f t="shared" si="71"/>
        <v>0</v>
      </c>
      <c r="AZ131" s="36">
        <f t="shared" si="72"/>
        <v>0</v>
      </c>
      <c r="BA131" s="36">
        <f t="shared" si="73"/>
        <v>0</v>
      </c>
      <c r="BB131" s="39">
        <f t="shared" si="74"/>
        <v>0</v>
      </c>
    </row>
    <row r="132" spans="2:54" x14ac:dyDescent="0.2">
      <c r="B132" s="65">
        <v>23</v>
      </c>
      <c r="C132" s="35">
        <f t="shared" si="39"/>
        <v>44501</v>
      </c>
      <c r="D132" s="36">
        <f t="shared" si="40"/>
        <v>0</v>
      </c>
      <c r="E132" s="36">
        <f t="shared" si="34"/>
        <v>0</v>
      </c>
      <c r="F132" s="36">
        <f t="shared" si="41"/>
        <v>0</v>
      </c>
      <c r="G132" s="36">
        <f t="shared" si="75"/>
        <v>0</v>
      </c>
      <c r="H132" s="36">
        <f t="shared" si="35"/>
        <v>0</v>
      </c>
      <c r="I132" s="39">
        <f t="shared" si="36"/>
        <v>0</v>
      </c>
      <c r="K132" s="38">
        <f t="shared" si="76"/>
        <v>23</v>
      </c>
      <c r="L132" s="35">
        <f t="shared" si="42"/>
        <v>44501</v>
      </c>
      <c r="M132" s="36">
        <f t="shared" si="43"/>
        <v>0</v>
      </c>
      <c r="N132" s="36">
        <f t="shared" si="37"/>
        <v>0</v>
      </c>
      <c r="O132" s="36">
        <f t="shared" si="44"/>
        <v>0</v>
      </c>
      <c r="P132" s="36">
        <f t="shared" si="56"/>
        <v>0</v>
      </c>
      <c r="Q132" s="36">
        <f t="shared" si="45"/>
        <v>0</v>
      </c>
      <c r="R132" s="39">
        <f t="shared" si="46"/>
        <v>0</v>
      </c>
      <c r="T132" s="38">
        <f t="shared" si="77"/>
        <v>23</v>
      </c>
      <c r="U132" s="35" t="str">
        <f t="shared" si="47"/>
        <v>0</v>
      </c>
      <c r="V132" s="36">
        <f t="shared" si="48"/>
        <v>0</v>
      </c>
      <c r="W132" s="36">
        <f t="shared" si="38"/>
        <v>0</v>
      </c>
      <c r="X132" s="37">
        <f t="shared" si="49"/>
        <v>0</v>
      </c>
      <c r="Y132" s="36">
        <f t="shared" si="57"/>
        <v>0</v>
      </c>
      <c r="Z132" s="36">
        <f t="shared" si="50"/>
        <v>0</v>
      </c>
      <c r="AA132" s="39">
        <f t="shared" si="51"/>
        <v>0</v>
      </c>
      <c r="AB132" s="41"/>
      <c r="AC132" s="38">
        <f t="shared" si="78"/>
        <v>23</v>
      </c>
      <c r="AD132" s="35">
        <f t="shared" si="58"/>
        <v>44501</v>
      </c>
      <c r="AE132" s="36">
        <f t="shared" si="59"/>
        <v>0</v>
      </c>
      <c r="AF132" s="36">
        <f t="shared" si="52"/>
        <v>0</v>
      </c>
      <c r="AG132" s="37">
        <f t="shared" si="53"/>
        <v>0</v>
      </c>
      <c r="AH132" s="36">
        <f t="shared" si="60"/>
        <v>0</v>
      </c>
      <c r="AI132" s="36">
        <f t="shared" si="61"/>
        <v>0</v>
      </c>
      <c r="AJ132" s="39">
        <f t="shared" si="62"/>
        <v>0</v>
      </c>
      <c r="AL132" s="38">
        <f t="shared" si="79"/>
        <v>23</v>
      </c>
      <c r="AM132" s="35">
        <f t="shared" si="63"/>
        <v>44501</v>
      </c>
      <c r="AN132" s="36">
        <f t="shared" si="64"/>
        <v>0</v>
      </c>
      <c r="AO132" s="36">
        <f t="shared" si="54"/>
        <v>0</v>
      </c>
      <c r="AP132" s="37">
        <f t="shared" si="65"/>
        <v>0</v>
      </c>
      <c r="AQ132" s="36">
        <f t="shared" si="66"/>
        <v>0</v>
      </c>
      <c r="AR132" s="36">
        <f t="shared" si="67"/>
        <v>0</v>
      </c>
      <c r="AS132" s="39">
        <f t="shared" si="68"/>
        <v>0</v>
      </c>
      <c r="AU132" s="38">
        <f t="shared" si="80"/>
        <v>23</v>
      </c>
      <c r="AV132" s="35" t="str">
        <f t="shared" si="69"/>
        <v>0</v>
      </c>
      <c r="AW132" s="36">
        <f t="shared" si="70"/>
        <v>0</v>
      </c>
      <c r="AX132" s="36">
        <f t="shared" si="55"/>
        <v>0</v>
      </c>
      <c r="AY132" s="37">
        <f t="shared" si="71"/>
        <v>0</v>
      </c>
      <c r="AZ132" s="36">
        <f t="shared" si="72"/>
        <v>0</v>
      </c>
      <c r="BA132" s="36">
        <f t="shared" si="73"/>
        <v>0</v>
      </c>
      <c r="BB132" s="39">
        <f t="shared" si="74"/>
        <v>0</v>
      </c>
    </row>
    <row r="133" spans="2:54" x14ac:dyDescent="0.2">
      <c r="B133" s="38">
        <v>24</v>
      </c>
      <c r="C133" s="35">
        <f t="shared" si="39"/>
        <v>44531</v>
      </c>
      <c r="D133" s="36">
        <f t="shared" si="40"/>
        <v>0</v>
      </c>
      <c r="E133" s="36">
        <f t="shared" si="34"/>
        <v>0</v>
      </c>
      <c r="F133" s="36">
        <f t="shared" si="41"/>
        <v>0</v>
      </c>
      <c r="G133" s="36">
        <f t="shared" si="75"/>
        <v>0</v>
      </c>
      <c r="H133" s="36">
        <f t="shared" si="35"/>
        <v>0</v>
      </c>
      <c r="I133" s="39">
        <f t="shared" si="36"/>
        <v>0</v>
      </c>
      <c r="J133" s="41"/>
      <c r="K133" s="38">
        <f t="shared" si="76"/>
        <v>24</v>
      </c>
      <c r="L133" s="35">
        <f t="shared" si="42"/>
        <v>44531</v>
      </c>
      <c r="M133" s="36">
        <f t="shared" si="43"/>
        <v>0</v>
      </c>
      <c r="N133" s="36">
        <f t="shared" si="37"/>
        <v>0</v>
      </c>
      <c r="O133" s="36">
        <f t="shared" si="44"/>
        <v>0</v>
      </c>
      <c r="P133" s="36">
        <f t="shared" si="56"/>
        <v>0</v>
      </c>
      <c r="Q133" s="36">
        <f t="shared" si="45"/>
        <v>0</v>
      </c>
      <c r="R133" s="39">
        <f t="shared" si="46"/>
        <v>0</v>
      </c>
      <c r="S133" s="41"/>
      <c r="T133" s="38">
        <f t="shared" si="77"/>
        <v>24</v>
      </c>
      <c r="U133" s="35" t="str">
        <f t="shared" si="47"/>
        <v>0</v>
      </c>
      <c r="V133" s="36">
        <f t="shared" si="48"/>
        <v>0</v>
      </c>
      <c r="W133" s="36">
        <f t="shared" si="38"/>
        <v>0</v>
      </c>
      <c r="X133" s="37">
        <f t="shared" si="49"/>
        <v>0</v>
      </c>
      <c r="Y133" s="36">
        <f t="shared" si="57"/>
        <v>0</v>
      </c>
      <c r="Z133" s="36">
        <f t="shared" si="50"/>
        <v>0</v>
      </c>
      <c r="AA133" s="39">
        <f t="shared" si="51"/>
        <v>0</v>
      </c>
      <c r="AB133" s="41"/>
      <c r="AC133" s="38">
        <f t="shared" si="78"/>
        <v>24</v>
      </c>
      <c r="AD133" s="35">
        <f t="shared" si="58"/>
        <v>44531</v>
      </c>
      <c r="AE133" s="36">
        <f t="shared" si="59"/>
        <v>0</v>
      </c>
      <c r="AF133" s="36">
        <f t="shared" si="52"/>
        <v>0</v>
      </c>
      <c r="AG133" s="37">
        <f t="shared" si="53"/>
        <v>0</v>
      </c>
      <c r="AH133" s="36">
        <f t="shared" si="60"/>
        <v>0</v>
      </c>
      <c r="AI133" s="36">
        <f t="shared" si="61"/>
        <v>0</v>
      </c>
      <c r="AJ133" s="39">
        <f t="shared" si="62"/>
        <v>0</v>
      </c>
      <c r="AL133" s="38">
        <f t="shared" si="79"/>
        <v>24</v>
      </c>
      <c r="AM133" s="35">
        <f t="shared" si="63"/>
        <v>44531</v>
      </c>
      <c r="AN133" s="36">
        <f t="shared" si="64"/>
        <v>0</v>
      </c>
      <c r="AO133" s="36">
        <f t="shared" si="54"/>
        <v>0</v>
      </c>
      <c r="AP133" s="37">
        <f t="shared" si="65"/>
        <v>0</v>
      </c>
      <c r="AQ133" s="36">
        <f t="shared" si="66"/>
        <v>0</v>
      </c>
      <c r="AR133" s="36">
        <f t="shared" si="67"/>
        <v>0</v>
      </c>
      <c r="AS133" s="39">
        <f t="shared" si="68"/>
        <v>0</v>
      </c>
      <c r="AU133" s="38">
        <f t="shared" si="80"/>
        <v>24</v>
      </c>
      <c r="AV133" s="35" t="str">
        <f t="shared" si="69"/>
        <v>0</v>
      </c>
      <c r="AW133" s="36">
        <f t="shared" si="70"/>
        <v>0</v>
      </c>
      <c r="AX133" s="36">
        <f t="shared" si="55"/>
        <v>0</v>
      </c>
      <c r="AY133" s="37">
        <f t="shared" si="71"/>
        <v>0</v>
      </c>
      <c r="AZ133" s="36">
        <f t="shared" si="72"/>
        <v>0</v>
      </c>
      <c r="BA133" s="36">
        <f t="shared" si="73"/>
        <v>0</v>
      </c>
      <c r="BB133" s="39">
        <f t="shared" si="74"/>
        <v>0</v>
      </c>
    </row>
    <row r="134" spans="2:54" s="41" customFormat="1" x14ac:dyDescent="0.2">
      <c r="B134" s="65">
        <v>25</v>
      </c>
      <c r="C134" s="35">
        <f t="shared" si="39"/>
        <v>44562</v>
      </c>
      <c r="D134" s="36">
        <f t="shared" si="40"/>
        <v>0</v>
      </c>
      <c r="E134" s="36">
        <f t="shared" si="34"/>
        <v>0</v>
      </c>
      <c r="F134" s="36">
        <f t="shared" si="41"/>
        <v>0</v>
      </c>
      <c r="G134" s="36">
        <f t="shared" si="75"/>
        <v>0</v>
      </c>
      <c r="H134" s="36">
        <f t="shared" si="35"/>
        <v>0</v>
      </c>
      <c r="I134" s="39">
        <f t="shared" si="36"/>
        <v>0</v>
      </c>
      <c r="J134"/>
      <c r="K134" s="38">
        <f t="shared" si="76"/>
        <v>25</v>
      </c>
      <c r="L134" s="35">
        <f t="shared" si="42"/>
        <v>44562</v>
      </c>
      <c r="M134" s="36">
        <f t="shared" si="43"/>
        <v>0</v>
      </c>
      <c r="N134" s="36">
        <f t="shared" si="37"/>
        <v>0</v>
      </c>
      <c r="O134" s="36">
        <f t="shared" si="44"/>
        <v>0</v>
      </c>
      <c r="P134" s="36">
        <f t="shared" si="56"/>
        <v>0</v>
      </c>
      <c r="Q134" s="36">
        <f t="shared" si="45"/>
        <v>0</v>
      </c>
      <c r="R134" s="39">
        <f t="shared" si="46"/>
        <v>0</v>
      </c>
      <c r="S134"/>
      <c r="T134" s="38">
        <f t="shared" si="77"/>
        <v>25</v>
      </c>
      <c r="U134" s="35" t="str">
        <f t="shared" si="47"/>
        <v>0</v>
      </c>
      <c r="V134" s="36">
        <f t="shared" si="48"/>
        <v>0</v>
      </c>
      <c r="W134" s="36">
        <f t="shared" si="38"/>
        <v>0</v>
      </c>
      <c r="X134" s="37">
        <f t="shared" si="49"/>
        <v>0</v>
      </c>
      <c r="Y134" s="36">
        <f t="shared" si="57"/>
        <v>0</v>
      </c>
      <c r="Z134" s="36">
        <f t="shared" si="50"/>
        <v>0</v>
      </c>
      <c r="AA134" s="39">
        <f t="shared" si="51"/>
        <v>0</v>
      </c>
      <c r="AC134" s="38">
        <f t="shared" si="78"/>
        <v>25</v>
      </c>
      <c r="AD134" s="35">
        <f t="shared" si="58"/>
        <v>44562</v>
      </c>
      <c r="AE134" s="36">
        <f t="shared" si="59"/>
        <v>0</v>
      </c>
      <c r="AF134" s="36">
        <f t="shared" si="52"/>
        <v>0</v>
      </c>
      <c r="AG134" s="37">
        <f t="shared" si="53"/>
        <v>0</v>
      </c>
      <c r="AH134" s="36">
        <f t="shared" si="60"/>
        <v>0</v>
      </c>
      <c r="AI134" s="36">
        <f t="shared" si="61"/>
        <v>0</v>
      </c>
      <c r="AJ134" s="39">
        <f t="shared" si="62"/>
        <v>0</v>
      </c>
      <c r="AL134" s="38">
        <f t="shared" si="79"/>
        <v>25</v>
      </c>
      <c r="AM134" s="35">
        <f t="shared" si="63"/>
        <v>44562</v>
      </c>
      <c r="AN134" s="36">
        <f t="shared" si="64"/>
        <v>0</v>
      </c>
      <c r="AO134" s="36">
        <f t="shared" si="54"/>
        <v>0</v>
      </c>
      <c r="AP134" s="37">
        <f t="shared" si="65"/>
        <v>0</v>
      </c>
      <c r="AQ134" s="36">
        <f t="shared" si="66"/>
        <v>0</v>
      </c>
      <c r="AR134" s="36">
        <f t="shared" si="67"/>
        <v>0</v>
      </c>
      <c r="AS134" s="39">
        <f t="shared" si="68"/>
        <v>0</v>
      </c>
      <c r="AU134" s="38">
        <f t="shared" si="80"/>
        <v>25</v>
      </c>
      <c r="AV134" s="35" t="str">
        <f t="shared" si="69"/>
        <v>0</v>
      </c>
      <c r="AW134" s="36">
        <f t="shared" si="70"/>
        <v>0</v>
      </c>
      <c r="AX134" s="36">
        <f t="shared" si="55"/>
        <v>0</v>
      </c>
      <c r="AY134" s="37">
        <f t="shared" si="71"/>
        <v>0</v>
      </c>
      <c r="AZ134" s="36">
        <f t="shared" si="72"/>
        <v>0</v>
      </c>
      <c r="BA134" s="36">
        <f t="shared" si="73"/>
        <v>0</v>
      </c>
      <c r="BB134" s="39">
        <f t="shared" si="74"/>
        <v>0</v>
      </c>
    </row>
    <row r="135" spans="2:54" x14ac:dyDescent="0.2">
      <c r="B135" s="65">
        <v>26</v>
      </c>
      <c r="C135" s="35">
        <f t="shared" si="39"/>
        <v>44593</v>
      </c>
      <c r="D135" s="36">
        <f t="shared" si="40"/>
        <v>0</v>
      </c>
      <c r="E135" s="36">
        <f t="shared" si="34"/>
        <v>0</v>
      </c>
      <c r="F135" s="36">
        <f t="shared" si="41"/>
        <v>0</v>
      </c>
      <c r="G135" s="36">
        <f t="shared" si="75"/>
        <v>0</v>
      </c>
      <c r="H135" s="36">
        <f t="shared" si="35"/>
        <v>0</v>
      </c>
      <c r="I135" s="39">
        <f t="shared" si="36"/>
        <v>0</v>
      </c>
      <c r="K135" s="38">
        <f t="shared" si="76"/>
        <v>26</v>
      </c>
      <c r="L135" s="35">
        <f t="shared" si="42"/>
        <v>44593</v>
      </c>
      <c r="M135" s="36">
        <f t="shared" si="43"/>
        <v>0</v>
      </c>
      <c r="N135" s="36">
        <f t="shared" si="37"/>
        <v>0</v>
      </c>
      <c r="O135" s="36">
        <f t="shared" si="44"/>
        <v>0</v>
      </c>
      <c r="P135" s="36">
        <f t="shared" si="56"/>
        <v>0</v>
      </c>
      <c r="Q135" s="36">
        <f t="shared" si="45"/>
        <v>0</v>
      </c>
      <c r="R135" s="39">
        <f t="shared" si="46"/>
        <v>0</v>
      </c>
      <c r="T135" s="38">
        <f t="shared" si="77"/>
        <v>26</v>
      </c>
      <c r="U135" s="35" t="str">
        <f t="shared" si="47"/>
        <v>0</v>
      </c>
      <c r="V135" s="36">
        <f t="shared" si="48"/>
        <v>0</v>
      </c>
      <c r="W135" s="36">
        <f t="shared" si="38"/>
        <v>0</v>
      </c>
      <c r="X135" s="37">
        <f t="shared" si="49"/>
        <v>0</v>
      </c>
      <c r="Y135" s="36">
        <f t="shared" si="57"/>
        <v>0</v>
      </c>
      <c r="Z135" s="36">
        <f t="shared" si="50"/>
        <v>0</v>
      </c>
      <c r="AA135" s="39">
        <f t="shared" si="51"/>
        <v>0</v>
      </c>
      <c r="AB135" s="41"/>
      <c r="AC135" s="38">
        <f t="shared" si="78"/>
        <v>26</v>
      </c>
      <c r="AD135" s="35">
        <f t="shared" si="58"/>
        <v>44593</v>
      </c>
      <c r="AE135" s="36">
        <f t="shared" si="59"/>
        <v>0</v>
      </c>
      <c r="AF135" s="36">
        <f t="shared" si="52"/>
        <v>0</v>
      </c>
      <c r="AG135" s="37">
        <f t="shared" si="53"/>
        <v>0</v>
      </c>
      <c r="AH135" s="36">
        <f t="shared" si="60"/>
        <v>0</v>
      </c>
      <c r="AI135" s="36">
        <f t="shared" si="61"/>
        <v>0</v>
      </c>
      <c r="AJ135" s="39">
        <f t="shared" si="62"/>
        <v>0</v>
      </c>
      <c r="AL135" s="38">
        <f t="shared" si="79"/>
        <v>26</v>
      </c>
      <c r="AM135" s="35">
        <f t="shared" si="63"/>
        <v>44593</v>
      </c>
      <c r="AN135" s="36">
        <f t="shared" si="64"/>
        <v>0</v>
      </c>
      <c r="AO135" s="36">
        <f t="shared" si="54"/>
        <v>0</v>
      </c>
      <c r="AP135" s="37">
        <f t="shared" si="65"/>
        <v>0</v>
      </c>
      <c r="AQ135" s="36">
        <f t="shared" si="66"/>
        <v>0</v>
      </c>
      <c r="AR135" s="36">
        <f t="shared" si="67"/>
        <v>0</v>
      </c>
      <c r="AS135" s="39">
        <f t="shared" si="68"/>
        <v>0</v>
      </c>
      <c r="AU135" s="38">
        <f t="shared" si="80"/>
        <v>26</v>
      </c>
      <c r="AV135" s="35" t="str">
        <f t="shared" si="69"/>
        <v>0</v>
      </c>
      <c r="AW135" s="36">
        <f t="shared" si="70"/>
        <v>0</v>
      </c>
      <c r="AX135" s="36">
        <f t="shared" si="55"/>
        <v>0</v>
      </c>
      <c r="AY135" s="37">
        <f t="shared" si="71"/>
        <v>0</v>
      </c>
      <c r="AZ135" s="36">
        <f t="shared" si="72"/>
        <v>0</v>
      </c>
      <c r="BA135" s="36">
        <f t="shared" si="73"/>
        <v>0</v>
      </c>
      <c r="BB135" s="39">
        <f t="shared" si="74"/>
        <v>0</v>
      </c>
    </row>
    <row r="136" spans="2:54" x14ac:dyDescent="0.2">
      <c r="B136" s="65">
        <v>27</v>
      </c>
      <c r="C136" s="35">
        <f t="shared" si="39"/>
        <v>44621</v>
      </c>
      <c r="D136" s="36">
        <f t="shared" si="40"/>
        <v>0</v>
      </c>
      <c r="E136" s="36">
        <f t="shared" si="34"/>
        <v>0</v>
      </c>
      <c r="F136" s="36">
        <f t="shared" si="41"/>
        <v>0</v>
      </c>
      <c r="G136" s="36">
        <f t="shared" si="75"/>
        <v>0</v>
      </c>
      <c r="H136" s="36">
        <f t="shared" si="35"/>
        <v>0</v>
      </c>
      <c r="I136" s="39">
        <f t="shared" si="36"/>
        <v>0</v>
      </c>
      <c r="K136" s="38">
        <f t="shared" si="76"/>
        <v>27</v>
      </c>
      <c r="L136" s="35">
        <f t="shared" si="42"/>
        <v>44621</v>
      </c>
      <c r="M136" s="36">
        <f t="shared" si="43"/>
        <v>0</v>
      </c>
      <c r="N136" s="36">
        <f t="shared" si="37"/>
        <v>0</v>
      </c>
      <c r="O136" s="36">
        <f t="shared" si="44"/>
        <v>0</v>
      </c>
      <c r="P136" s="36">
        <f t="shared" si="56"/>
        <v>0</v>
      </c>
      <c r="Q136" s="36">
        <f t="shared" si="45"/>
        <v>0</v>
      </c>
      <c r="R136" s="39">
        <f t="shared" si="46"/>
        <v>0</v>
      </c>
      <c r="T136" s="38">
        <f t="shared" si="77"/>
        <v>27</v>
      </c>
      <c r="U136" s="35" t="str">
        <f t="shared" si="47"/>
        <v>0</v>
      </c>
      <c r="V136" s="36">
        <f t="shared" si="48"/>
        <v>0</v>
      </c>
      <c r="W136" s="36">
        <f t="shared" si="38"/>
        <v>0</v>
      </c>
      <c r="X136" s="37">
        <f t="shared" si="49"/>
        <v>0</v>
      </c>
      <c r="Y136" s="36">
        <f t="shared" si="57"/>
        <v>0</v>
      </c>
      <c r="Z136" s="36">
        <f t="shared" si="50"/>
        <v>0</v>
      </c>
      <c r="AA136" s="39">
        <f t="shared" si="51"/>
        <v>0</v>
      </c>
      <c r="AB136" s="41"/>
      <c r="AC136" s="38">
        <f t="shared" si="78"/>
        <v>27</v>
      </c>
      <c r="AD136" s="35">
        <f t="shared" si="58"/>
        <v>44621</v>
      </c>
      <c r="AE136" s="36">
        <f t="shared" si="59"/>
        <v>0</v>
      </c>
      <c r="AF136" s="36">
        <f t="shared" si="52"/>
        <v>0</v>
      </c>
      <c r="AG136" s="37">
        <f t="shared" si="53"/>
        <v>0</v>
      </c>
      <c r="AH136" s="36">
        <f t="shared" si="60"/>
        <v>0</v>
      </c>
      <c r="AI136" s="36">
        <f t="shared" si="61"/>
        <v>0</v>
      </c>
      <c r="AJ136" s="39">
        <f t="shared" si="62"/>
        <v>0</v>
      </c>
      <c r="AL136" s="38">
        <f t="shared" si="79"/>
        <v>27</v>
      </c>
      <c r="AM136" s="35">
        <f t="shared" si="63"/>
        <v>44621</v>
      </c>
      <c r="AN136" s="36">
        <f t="shared" si="64"/>
        <v>0</v>
      </c>
      <c r="AO136" s="36">
        <f t="shared" si="54"/>
        <v>0</v>
      </c>
      <c r="AP136" s="37">
        <f t="shared" si="65"/>
        <v>0</v>
      </c>
      <c r="AQ136" s="36">
        <f t="shared" si="66"/>
        <v>0</v>
      </c>
      <c r="AR136" s="36">
        <f t="shared" si="67"/>
        <v>0</v>
      </c>
      <c r="AS136" s="39">
        <f t="shared" si="68"/>
        <v>0</v>
      </c>
      <c r="AU136" s="38">
        <f t="shared" si="80"/>
        <v>27</v>
      </c>
      <c r="AV136" s="35" t="str">
        <f t="shared" si="69"/>
        <v>0</v>
      </c>
      <c r="AW136" s="36">
        <f t="shared" si="70"/>
        <v>0</v>
      </c>
      <c r="AX136" s="36">
        <f t="shared" si="55"/>
        <v>0</v>
      </c>
      <c r="AY136" s="37">
        <f t="shared" si="71"/>
        <v>0</v>
      </c>
      <c r="AZ136" s="36">
        <f t="shared" si="72"/>
        <v>0</v>
      </c>
      <c r="BA136" s="36">
        <f t="shared" si="73"/>
        <v>0</v>
      </c>
      <c r="BB136" s="39">
        <f t="shared" si="74"/>
        <v>0</v>
      </c>
    </row>
    <row r="137" spans="2:54" x14ac:dyDescent="0.2">
      <c r="B137" s="65">
        <v>28</v>
      </c>
      <c r="C137" s="35">
        <f t="shared" si="39"/>
        <v>44652</v>
      </c>
      <c r="D137" s="36">
        <f t="shared" si="40"/>
        <v>0</v>
      </c>
      <c r="E137" s="36">
        <f t="shared" si="34"/>
        <v>0</v>
      </c>
      <c r="F137" s="36">
        <f t="shared" si="41"/>
        <v>0</v>
      </c>
      <c r="G137" s="36">
        <f t="shared" si="75"/>
        <v>0</v>
      </c>
      <c r="H137" s="36">
        <f t="shared" si="35"/>
        <v>0</v>
      </c>
      <c r="I137" s="39">
        <f t="shared" si="36"/>
        <v>0</v>
      </c>
      <c r="K137" s="38">
        <f t="shared" si="76"/>
        <v>28</v>
      </c>
      <c r="L137" s="35">
        <f t="shared" si="42"/>
        <v>44652</v>
      </c>
      <c r="M137" s="36">
        <f t="shared" si="43"/>
        <v>0</v>
      </c>
      <c r="N137" s="36">
        <f t="shared" si="37"/>
        <v>0</v>
      </c>
      <c r="O137" s="36">
        <f t="shared" si="44"/>
        <v>0</v>
      </c>
      <c r="P137" s="36">
        <f t="shared" si="56"/>
        <v>0</v>
      </c>
      <c r="Q137" s="36">
        <f t="shared" si="45"/>
        <v>0</v>
      </c>
      <c r="R137" s="39">
        <f t="shared" si="46"/>
        <v>0</v>
      </c>
      <c r="T137" s="38">
        <f t="shared" si="77"/>
        <v>28</v>
      </c>
      <c r="U137" s="35" t="str">
        <f t="shared" si="47"/>
        <v>0</v>
      </c>
      <c r="V137" s="36">
        <f t="shared" si="48"/>
        <v>0</v>
      </c>
      <c r="W137" s="36">
        <f t="shared" si="38"/>
        <v>0</v>
      </c>
      <c r="X137" s="37">
        <f t="shared" si="49"/>
        <v>0</v>
      </c>
      <c r="Y137" s="36">
        <f t="shared" si="57"/>
        <v>0</v>
      </c>
      <c r="Z137" s="36">
        <f t="shared" si="50"/>
        <v>0</v>
      </c>
      <c r="AA137" s="39">
        <f t="shared" si="51"/>
        <v>0</v>
      </c>
      <c r="AB137" s="41"/>
      <c r="AC137" s="38">
        <f t="shared" si="78"/>
        <v>28</v>
      </c>
      <c r="AD137" s="35">
        <f t="shared" si="58"/>
        <v>44652</v>
      </c>
      <c r="AE137" s="36">
        <f t="shared" si="59"/>
        <v>0</v>
      </c>
      <c r="AF137" s="36">
        <f t="shared" si="52"/>
        <v>0</v>
      </c>
      <c r="AG137" s="37">
        <f t="shared" si="53"/>
        <v>0</v>
      </c>
      <c r="AH137" s="36">
        <f t="shared" si="60"/>
        <v>0</v>
      </c>
      <c r="AI137" s="36">
        <f t="shared" si="61"/>
        <v>0</v>
      </c>
      <c r="AJ137" s="39">
        <f t="shared" si="62"/>
        <v>0</v>
      </c>
      <c r="AL137" s="38">
        <f t="shared" si="79"/>
        <v>28</v>
      </c>
      <c r="AM137" s="35">
        <f t="shared" si="63"/>
        <v>44652</v>
      </c>
      <c r="AN137" s="36">
        <f t="shared" si="64"/>
        <v>0</v>
      </c>
      <c r="AO137" s="36">
        <f t="shared" si="54"/>
        <v>0</v>
      </c>
      <c r="AP137" s="37">
        <f t="shared" si="65"/>
        <v>0</v>
      </c>
      <c r="AQ137" s="36">
        <f t="shared" si="66"/>
        <v>0</v>
      </c>
      <c r="AR137" s="36">
        <f t="shared" si="67"/>
        <v>0</v>
      </c>
      <c r="AS137" s="39">
        <f t="shared" si="68"/>
        <v>0</v>
      </c>
      <c r="AU137" s="38">
        <f t="shared" si="80"/>
        <v>28</v>
      </c>
      <c r="AV137" s="35" t="str">
        <f t="shared" si="69"/>
        <v>0</v>
      </c>
      <c r="AW137" s="36">
        <f t="shared" si="70"/>
        <v>0</v>
      </c>
      <c r="AX137" s="36">
        <f t="shared" si="55"/>
        <v>0</v>
      </c>
      <c r="AY137" s="37">
        <f t="shared" si="71"/>
        <v>0</v>
      </c>
      <c r="AZ137" s="36">
        <f t="shared" si="72"/>
        <v>0</v>
      </c>
      <c r="BA137" s="36">
        <f t="shared" si="73"/>
        <v>0</v>
      </c>
      <c r="BB137" s="39">
        <f t="shared" si="74"/>
        <v>0</v>
      </c>
    </row>
    <row r="138" spans="2:54" x14ac:dyDescent="0.2">
      <c r="B138" s="65">
        <v>29</v>
      </c>
      <c r="C138" s="35">
        <f t="shared" si="39"/>
        <v>44682</v>
      </c>
      <c r="D138" s="36">
        <f t="shared" si="40"/>
        <v>0</v>
      </c>
      <c r="E138" s="36">
        <f t="shared" si="34"/>
        <v>0</v>
      </c>
      <c r="F138" s="36">
        <f t="shared" si="41"/>
        <v>0</v>
      </c>
      <c r="G138" s="36">
        <f t="shared" si="75"/>
        <v>0</v>
      </c>
      <c r="H138" s="36">
        <f t="shared" si="35"/>
        <v>0</v>
      </c>
      <c r="I138" s="39">
        <f t="shared" si="36"/>
        <v>0</v>
      </c>
      <c r="K138" s="38">
        <f t="shared" si="76"/>
        <v>29</v>
      </c>
      <c r="L138" s="35">
        <f t="shared" si="42"/>
        <v>44682</v>
      </c>
      <c r="M138" s="36">
        <f t="shared" si="43"/>
        <v>0</v>
      </c>
      <c r="N138" s="36">
        <f t="shared" si="37"/>
        <v>0</v>
      </c>
      <c r="O138" s="36">
        <f t="shared" si="44"/>
        <v>0</v>
      </c>
      <c r="P138" s="36">
        <f t="shared" si="56"/>
        <v>0</v>
      </c>
      <c r="Q138" s="36">
        <f t="shared" si="45"/>
        <v>0</v>
      </c>
      <c r="R138" s="39">
        <f t="shared" si="46"/>
        <v>0</v>
      </c>
      <c r="T138" s="38">
        <f t="shared" si="77"/>
        <v>29</v>
      </c>
      <c r="U138" s="35" t="str">
        <f t="shared" si="47"/>
        <v>0</v>
      </c>
      <c r="V138" s="36">
        <f t="shared" si="48"/>
        <v>0</v>
      </c>
      <c r="W138" s="36">
        <f t="shared" si="38"/>
        <v>0</v>
      </c>
      <c r="X138" s="37">
        <f t="shared" si="49"/>
        <v>0</v>
      </c>
      <c r="Y138" s="36">
        <f t="shared" si="57"/>
        <v>0</v>
      </c>
      <c r="Z138" s="36">
        <f t="shared" si="50"/>
        <v>0</v>
      </c>
      <c r="AA138" s="39">
        <f t="shared" si="51"/>
        <v>0</v>
      </c>
      <c r="AB138" s="41"/>
      <c r="AC138" s="38">
        <f t="shared" si="78"/>
        <v>29</v>
      </c>
      <c r="AD138" s="35">
        <f t="shared" si="58"/>
        <v>44682</v>
      </c>
      <c r="AE138" s="36">
        <f t="shared" si="59"/>
        <v>0</v>
      </c>
      <c r="AF138" s="36">
        <f t="shared" si="52"/>
        <v>0</v>
      </c>
      <c r="AG138" s="37">
        <f t="shared" si="53"/>
        <v>0</v>
      </c>
      <c r="AH138" s="36">
        <f t="shared" si="60"/>
        <v>0</v>
      </c>
      <c r="AI138" s="36">
        <f t="shared" si="61"/>
        <v>0</v>
      </c>
      <c r="AJ138" s="39">
        <f t="shared" si="62"/>
        <v>0</v>
      </c>
      <c r="AL138" s="38">
        <f t="shared" si="79"/>
        <v>29</v>
      </c>
      <c r="AM138" s="35">
        <f t="shared" si="63"/>
        <v>44682</v>
      </c>
      <c r="AN138" s="36">
        <f t="shared" si="64"/>
        <v>0</v>
      </c>
      <c r="AO138" s="36">
        <f t="shared" si="54"/>
        <v>0</v>
      </c>
      <c r="AP138" s="37">
        <f t="shared" si="65"/>
        <v>0</v>
      </c>
      <c r="AQ138" s="36">
        <f t="shared" si="66"/>
        <v>0</v>
      </c>
      <c r="AR138" s="36">
        <f t="shared" si="67"/>
        <v>0</v>
      </c>
      <c r="AS138" s="39">
        <f t="shared" si="68"/>
        <v>0</v>
      </c>
      <c r="AU138" s="38">
        <f t="shared" si="80"/>
        <v>29</v>
      </c>
      <c r="AV138" s="35" t="str">
        <f t="shared" si="69"/>
        <v>0</v>
      </c>
      <c r="AW138" s="36">
        <f t="shared" si="70"/>
        <v>0</v>
      </c>
      <c r="AX138" s="36">
        <f t="shared" si="55"/>
        <v>0</v>
      </c>
      <c r="AY138" s="37">
        <f t="shared" si="71"/>
        <v>0</v>
      </c>
      <c r="AZ138" s="36">
        <f t="shared" si="72"/>
        <v>0</v>
      </c>
      <c r="BA138" s="36">
        <f t="shared" si="73"/>
        <v>0</v>
      </c>
      <c r="BB138" s="39">
        <f t="shared" si="74"/>
        <v>0</v>
      </c>
    </row>
    <row r="139" spans="2:54" x14ac:dyDescent="0.2">
      <c r="B139" s="65">
        <v>30</v>
      </c>
      <c r="C139" s="35">
        <f t="shared" si="39"/>
        <v>44713</v>
      </c>
      <c r="D139" s="36">
        <f t="shared" si="40"/>
        <v>0</v>
      </c>
      <c r="E139" s="36">
        <f t="shared" si="34"/>
        <v>0</v>
      </c>
      <c r="F139" s="36">
        <f t="shared" si="41"/>
        <v>0</v>
      </c>
      <c r="G139" s="36">
        <f t="shared" si="75"/>
        <v>0</v>
      </c>
      <c r="H139" s="36">
        <f t="shared" si="35"/>
        <v>0</v>
      </c>
      <c r="I139" s="39">
        <f t="shared" si="36"/>
        <v>0</v>
      </c>
      <c r="K139" s="38">
        <f t="shared" si="76"/>
        <v>30</v>
      </c>
      <c r="L139" s="35">
        <f t="shared" si="42"/>
        <v>44713</v>
      </c>
      <c r="M139" s="36">
        <f t="shared" si="43"/>
        <v>0</v>
      </c>
      <c r="N139" s="36">
        <f t="shared" si="37"/>
        <v>0</v>
      </c>
      <c r="O139" s="36">
        <f t="shared" si="44"/>
        <v>0</v>
      </c>
      <c r="P139" s="36">
        <f t="shared" si="56"/>
        <v>0</v>
      </c>
      <c r="Q139" s="36">
        <f t="shared" si="45"/>
        <v>0</v>
      </c>
      <c r="R139" s="39">
        <f t="shared" si="46"/>
        <v>0</v>
      </c>
      <c r="T139" s="38">
        <f t="shared" si="77"/>
        <v>30</v>
      </c>
      <c r="U139" s="35" t="str">
        <f t="shared" si="47"/>
        <v>0</v>
      </c>
      <c r="V139" s="36">
        <f t="shared" si="48"/>
        <v>0</v>
      </c>
      <c r="W139" s="36">
        <f t="shared" si="38"/>
        <v>0</v>
      </c>
      <c r="X139" s="37">
        <f t="shared" si="49"/>
        <v>0</v>
      </c>
      <c r="Y139" s="36">
        <f t="shared" si="57"/>
        <v>0</v>
      </c>
      <c r="Z139" s="36">
        <f t="shared" si="50"/>
        <v>0</v>
      </c>
      <c r="AA139" s="39">
        <f t="shared" si="51"/>
        <v>0</v>
      </c>
      <c r="AB139" s="41"/>
      <c r="AC139" s="38">
        <f t="shared" si="78"/>
        <v>30</v>
      </c>
      <c r="AD139" s="35">
        <f t="shared" si="58"/>
        <v>44713</v>
      </c>
      <c r="AE139" s="36">
        <f t="shared" si="59"/>
        <v>0</v>
      </c>
      <c r="AF139" s="36">
        <f t="shared" si="52"/>
        <v>0</v>
      </c>
      <c r="AG139" s="37">
        <f t="shared" si="53"/>
        <v>0</v>
      </c>
      <c r="AH139" s="36">
        <f t="shared" si="60"/>
        <v>0</v>
      </c>
      <c r="AI139" s="36">
        <f t="shared" si="61"/>
        <v>0</v>
      </c>
      <c r="AJ139" s="39">
        <f t="shared" si="62"/>
        <v>0</v>
      </c>
      <c r="AL139" s="38">
        <f t="shared" si="79"/>
        <v>30</v>
      </c>
      <c r="AM139" s="35">
        <f t="shared" si="63"/>
        <v>44713</v>
      </c>
      <c r="AN139" s="36">
        <f t="shared" si="64"/>
        <v>0</v>
      </c>
      <c r="AO139" s="36">
        <f t="shared" si="54"/>
        <v>0</v>
      </c>
      <c r="AP139" s="37">
        <f t="shared" si="65"/>
        <v>0</v>
      </c>
      <c r="AQ139" s="36">
        <f t="shared" si="66"/>
        <v>0</v>
      </c>
      <c r="AR139" s="36">
        <f t="shared" si="67"/>
        <v>0</v>
      </c>
      <c r="AS139" s="39">
        <f t="shared" si="68"/>
        <v>0</v>
      </c>
      <c r="AU139" s="38">
        <f t="shared" si="80"/>
        <v>30</v>
      </c>
      <c r="AV139" s="35" t="str">
        <f t="shared" si="69"/>
        <v>0</v>
      </c>
      <c r="AW139" s="36">
        <f t="shared" si="70"/>
        <v>0</v>
      </c>
      <c r="AX139" s="36">
        <f t="shared" si="55"/>
        <v>0</v>
      </c>
      <c r="AY139" s="37">
        <f t="shared" si="71"/>
        <v>0</v>
      </c>
      <c r="AZ139" s="36">
        <f t="shared" si="72"/>
        <v>0</v>
      </c>
      <c r="BA139" s="36">
        <f t="shared" si="73"/>
        <v>0</v>
      </c>
      <c r="BB139" s="39">
        <f t="shared" si="74"/>
        <v>0</v>
      </c>
    </row>
    <row r="140" spans="2:54" x14ac:dyDescent="0.2">
      <c r="B140" s="65">
        <v>31</v>
      </c>
      <c r="C140" s="35">
        <f t="shared" si="39"/>
        <v>44743</v>
      </c>
      <c r="D140" s="36">
        <f t="shared" si="40"/>
        <v>0</v>
      </c>
      <c r="E140" s="36">
        <f t="shared" si="34"/>
        <v>0</v>
      </c>
      <c r="F140" s="36">
        <f t="shared" si="41"/>
        <v>0</v>
      </c>
      <c r="G140" s="36">
        <f t="shared" si="75"/>
        <v>0</v>
      </c>
      <c r="H140" s="36">
        <f t="shared" si="35"/>
        <v>0</v>
      </c>
      <c r="I140" s="39">
        <f t="shared" si="36"/>
        <v>0</v>
      </c>
      <c r="K140" s="38">
        <f t="shared" si="76"/>
        <v>31</v>
      </c>
      <c r="L140" s="35">
        <f t="shared" si="42"/>
        <v>44743</v>
      </c>
      <c r="M140" s="36">
        <f t="shared" si="43"/>
        <v>0</v>
      </c>
      <c r="N140" s="36">
        <f t="shared" si="37"/>
        <v>0</v>
      </c>
      <c r="O140" s="36">
        <f t="shared" si="44"/>
        <v>0</v>
      </c>
      <c r="P140" s="36">
        <f t="shared" si="56"/>
        <v>0</v>
      </c>
      <c r="Q140" s="36">
        <f t="shared" si="45"/>
        <v>0</v>
      </c>
      <c r="R140" s="39">
        <f t="shared" si="46"/>
        <v>0</v>
      </c>
      <c r="T140" s="38">
        <f t="shared" si="77"/>
        <v>31</v>
      </c>
      <c r="U140" s="35" t="str">
        <f t="shared" si="47"/>
        <v>0</v>
      </c>
      <c r="V140" s="36">
        <f t="shared" si="48"/>
        <v>0</v>
      </c>
      <c r="W140" s="36">
        <f t="shared" si="38"/>
        <v>0</v>
      </c>
      <c r="X140" s="37">
        <f t="shared" si="49"/>
        <v>0</v>
      </c>
      <c r="Y140" s="36">
        <f t="shared" si="57"/>
        <v>0</v>
      </c>
      <c r="Z140" s="36">
        <f t="shared" si="50"/>
        <v>0</v>
      </c>
      <c r="AA140" s="39">
        <f t="shared" si="51"/>
        <v>0</v>
      </c>
      <c r="AB140" s="41"/>
      <c r="AC140" s="38">
        <f t="shared" si="78"/>
        <v>31</v>
      </c>
      <c r="AD140" s="35">
        <f t="shared" si="58"/>
        <v>44743</v>
      </c>
      <c r="AE140" s="36">
        <f t="shared" si="59"/>
        <v>0</v>
      </c>
      <c r="AF140" s="36">
        <f t="shared" si="52"/>
        <v>0</v>
      </c>
      <c r="AG140" s="37">
        <f t="shared" si="53"/>
        <v>0</v>
      </c>
      <c r="AH140" s="36">
        <f t="shared" si="60"/>
        <v>0</v>
      </c>
      <c r="AI140" s="36">
        <f t="shared" si="61"/>
        <v>0</v>
      </c>
      <c r="AJ140" s="39">
        <f t="shared" si="62"/>
        <v>0</v>
      </c>
      <c r="AL140" s="38">
        <f t="shared" si="79"/>
        <v>31</v>
      </c>
      <c r="AM140" s="35">
        <f t="shared" si="63"/>
        <v>44743</v>
      </c>
      <c r="AN140" s="36">
        <f t="shared" si="64"/>
        <v>0</v>
      </c>
      <c r="AO140" s="36">
        <f t="shared" si="54"/>
        <v>0</v>
      </c>
      <c r="AP140" s="37">
        <f t="shared" si="65"/>
        <v>0</v>
      </c>
      <c r="AQ140" s="36">
        <f t="shared" si="66"/>
        <v>0</v>
      </c>
      <c r="AR140" s="36">
        <f t="shared" si="67"/>
        <v>0</v>
      </c>
      <c r="AS140" s="39">
        <f t="shared" si="68"/>
        <v>0</v>
      </c>
      <c r="AU140" s="38">
        <f t="shared" si="80"/>
        <v>31</v>
      </c>
      <c r="AV140" s="35" t="str">
        <f t="shared" si="69"/>
        <v>0</v>
      </c>
      <c r="AW140" s="36">
        <f t="shared" si="70"/>
        <v>0</v>
      </c>
      <c r="AX140" s="36">
        <f t="shared" si="55"/>
        <v>0</v>
      </c>
      <c r="AY140" s="37">
        <f t="shared" si="71"/>
        <v>0</v>
      </c>
      <c r="AZ140" s="36">
        <f t="shared" si="72"/>
        <v>0</v>
      </c>
      <c r="BA140" s="36">
        <f t="shared" si="73"/>
        <v>0</v>
      </c>
      <c r="BB140" s="39">
        <f t="shared" si="74"/>
        <v>0</v>
      </c>
    </row>
    <row r="141" spans="2:54" x14ac:dyDescent="0.2">
      <c r="B141" s="65">
        <v>32</v>
      </c>
      <c r="C141" s="35">
        <f t="shared" si="39"/>
        <v>44774</v>
      </c>
      <c r="D141" s="36">
        <f t="shared" si="40"/>
        <v>0</v>
      </c>
      <c r="E141" s="36">
        <f t="shared" si="34"/>
        <v>0</v>
      </c>
      <c r="F141" s="36">
        <f t="shared" si="41"/>
        <v>0</v>
      </c>
      <c r="G141" s="36">
        <f t="shared" si="75"/>
        <v>0</v>
      </c>
      <c r="H141" s="36">
        <f t="shared" si="35"/>
        <v>0</v>
      </c>
      <c r="I141" s="39">
        <f t="shared" si="36"/>
        <v>0</v>
      </c>
      <c r="K141" s="38">
        <f t="shared" si="76"/>
        <v>32</v>
      </c>
      <c r="L141" s="35">
        <f t="shared" si="42"/>
        <v>44774</v>
      </c>
      <c r="M141" s="36">
        <f t="shared" si="43"/>
        <v>0</v>
      </c>
      <c r="N141" s="36">
        <f t="shared" si="37"/>
        <v>0</v>
      </c>
      <c r="O141" s="36">
        <f t="shared" si="44"/>
        <v>0</v>
      </c>
      <c r="P141" s="36">
        <f t="shared" si="56"/>
        <v>0</v>
      </c>
      <c r="Q141" s="36">
        <f t="shared" si="45"/>
        <v>0</v>
      </c>
      <c r="R141" s="39">
        <f t="shared" si="46"/>
        <v>0</v>
      </c>
      <c r="T141" s="38">
        <f t="shared" si="77"/>
        <v>32</v>
      </c>
      <c r="U141" s="35" t="str">
        <f t="shared" si="47"/>
        <v>0</v>
      </c>
      <c r="V141" s="36">
        <f t="shared" si="48"/>
        <v>0</v>
      </c>
      <c r="W141" s="36">
        <f t="shared" si="38"/>
        <v>0</v>
      </c>
      <c r="X141" s="37">
        <f t="shared" si="49"/>
        <v>0</v>
      </c>
      <c r="Y141" s="36">
        <f t="shared" si="57"/>
        <v>0</v>
      </c>
      <c r="Z141" s="36">
        <f t="shared" si="50"/>
        <v>0</v>
      </c>
      <c r="AA141" s="39">
        <f t="shared" si="51"/>
        <v>0</v>
      </c>
      <c r="AB141" s="41"/>
      <c r="AC141" s="38">
        <f t="shared" si="78"/>
        <v>32</v>
      </c>
      <c r="AD141" s="35">
        <f t="shared" si="58"/>
        <v>44774</v>
      </c>
      <c r="AE141" s="36">
        <f t="shared" si="59"/>
        <v>0</v>
      </c>
      <c r="AF141" s="36">
        <f t="shared" si="52"/>
        <v>0</v>
      </c>
      <c r="AG141" s="37">
        <f t="shared" si="53"/>
        <v>0</v>
      </c>
      <c r="AH141" s="36">
        <f t="shared" si="60"/>
        <v>0</v>
      </c>
      <c r="AI141" s="36">
        <f t="shared" si="61"/>
        <v>0</v>
      </c>
      <c r="AJ141" s="39">
        <f t="shared" si="62"/>
        <v>0</v>
      </c>
      <c r="AL141" s="38">
        <f t="shared" si="79"/>
        <v>32</v>
      </c>
      <c r="AM141" s="35">
        <f t="shared" si="63"/>
        <v>44774</v>
      </c>
      <c r="AN141" s="36">
        <f t="shared" si="64"/>
        <v>0</v>
      </c>
      <c r="AO141" s="36">
        <f t="shared" si="54"/>
        <v>0</v>
      </c>
      <c r="AP141" s="37">
        <f t="shared" si="65"/>
        <v>0</v>
      </c>
      <c r="AQ141" s="36">
        <f t="shared" si="66"/>
        <v>0</v>
      </c>
      <c r="AR141" s="36">
        <f t="shared" si="67"/>
        <v>0</v>
      </c>
      <c r="AS141" s="39">
        <f t="shared" si="68"/>
        <v>0</v>
      </c>
      <c r="AU141" s="38">
        <f t="shared" si="80"/>
        <v>32</v>
      </c>
      <c r="AV141" s="35" t="str">
        <f t="shared" si="69"/>
        <v>0</v>
      </c>
      <c r="AW141" s="36">
        <f t="shared" si="70"/>
        <v>0</v>
      </c>
      <c r="AX141" s="36">
        <f t="shared" si="55"/>
        <v>0</v>
      </c>
      <c r="AY141" s="37">
        <f t="shared" si="71"/>
        <v>0</v>
      </c>
      <c r="AZ141" s="36">
        <f t="shared" si="72"/>
        <v>0</v>
      </c>
      <c r="BA141" s="36">
        <f t="shared" si="73"/>
        <v>0</v>
      </c>
      <c r="BB141" s="39">
        <f t="shared" si="74"/>
        <v>0</v>
      </c>
    </row>
    <row r="142" spans="2:54" x14ac:dyDescent="0.2">
      <c r="B142" s="65">
        <v>33</v>
      </c>
      <c r="C142" s="35">
        <f t="shared" si="39"/>
        <v>44805</v>
      </c>
      <c r="D142" s="36">
        <f t="shared" si="40"/>
        <v>0</v>
      </c>
      <c r="E142" s="36">
        <f t="shared" ref="E142:E173" si="81">(D142*$D$92*1)/1200</f>
        <v>0</v>
      </c>
      <c r="F142" s="36">
        <f t="shared" si="41"/>
        <v>0</v>
      </c>
      <c r="G142" s="36">
        <f t="shared" si="75"/>
        <v>0</v>
      </c>
      <c r="H142" s="36">
        <f t="shared" ref="H142:H173" si="82">IF(B142&lt;=$D$97,E142+H141,0)</f>
        <v>0</v>
      </c>
      <c r="I142" s="39">
        <f t="shared" ref="I142:I173" si="83">IF(B142&lt;=$D$97,F142+I141,0)</f>
        <v>0</v>
      </c>
      <c r="K142" s="38">
        <f t="shared" si="76"/>
        <v>33</v>
      </c>
      <c r="L142" s="35">
        <f t="shared" si="42"/>
        <v>44805</v>
      </c>
      <c r="M142" s="36">
        <f t="shared" si="43"/>
        <v>0</v>
      </c>
      <c r="N142" s="36">
        <f t="shared" ref="N142:N173" si="84">(M142*$M$92*1)/1200</f>
        <v>0</v>
      </c>
      <c r="O142" s="36">
        <f t="shared" si="44"/>
        <v>0</v>
      </c>
      <c r="P142" s="36">
        <f t="shared" si="56"/>
        <v>0</v>
      </c>
      <c r="Q142" s="36">
        <f t="shared" si="45"/>
        <v>0</v>
      </c>
      <c r="R142" s="39">
        <f t="shared" si="46"/>
        <v>0</v>
      </c>
      <c r="T142" s="38">
        <f t="shared" si="77"/>
        <v>33</v>
      </c>
      <c r="U142" s="35" t="str">
        <f t="shared" si="47"/>
        <v>0</v>
      </c>
      <c r="V142" s="36">
        <f t="shared" si="48"/>
        <v>0</v>
      </c>
      <c r="W142" s="36">
        <f t="shared" ref="W142:W173" si="85">(V142*$V$92*1)/1200</f>
        <v>0</v>
      </c>
      <c r="X142" s="37">
        <f t="shared" si="49"/>
        <v>0</v>
      </c>
      <c r="Y142" s="36">
        <f t="shared" si="57"/>
        <v>0</v>
      </c>
      <c r="Z142" s="36">
        <f t="shared" si="50"/>
        <v>0</v>
      </c>
      <c r="AA142" s="39">
        <f t="shared" si="51"/>
        <v>0</v>
      </c>
      <c r="AB142" s="41"/>
      <c r="AC142" s="38">
        <f t="shared" si="78"/>
        <v>33</v>
      </c>
      <c r="AD142" s="35">
        <f t="shared" si="58"/>
        <v>44805</v>
      </c>
      <c r="AE142" s="36">
        <f t="shared" si="59"/>
        <v>0</v>
      </c>
      <c r="AF142" s="36">
        <f t="shared" si="52"/>
        <v>0</v>
      </c>
      <c r="AG142" s="37">
        <f t="shared" si="53"/>
        <v>0</v>
      </c>
      <c r="AH142" s="36">
        <f t="shared" si="60"/>
        <v>0</v>
      </c>
      <c r="AI142" s="36">
        <f t="shared" si="61"/>
        <v>0</v>
      </c>
      <c r="AJ142" s="39">
        <f t="shared" si="62"/>
        <v>0</v>
      </c>
      <c r="AL142" s="38">
        <f t="shared" si="79"/>
        <v>33</v>
      </c>
      <c r="AM142" s="35">
        <f t="shared" si="63"/>
        <v>44805</v>
      </c>
      <c r="AN142" s="36">
        <f t="shared" si="64"/>
        <v>0</v>
      </c>
      <c r="AO142" s="36">
        <f t="shared" si="54"/>
        <v>0</v>
      </c>
      <c r="AP142" s="37">
        <f t="shared" si="65"/>
        <v>0</v>
      </c>
      <c r="AQ142" s="36">
        <f t="shared" si="66"/>
        <v>0</v>
      </c>
      <c r="AR142" s="36">
        <f t="shared" si="67"/>
        <v>0</v>
      </c>
      <c r="AS142" s="39">
        <f t="shared" si="68"/>
        <v>0</v>
      </c>
      <c r="AU142" s="38">
        <f t="shared" si="80"/>
        <v>33</v>
      </c>
      <c r="AV142" s="35" t="str">
        <f t="shared" si="69"/>
        <v>0</v>
      </c>
      <c r="AW142" s="36">
        <f t="shared" si="70"/>
        <v>0</v>
      </c>
      <c r="AX142" s="36">
        <f t="shared" si="55"/>
        <v>0</v>
      </c>
      <c r="AY142" s="37">
        <f t="shared" si="71"/>
        <v>0</v>
      </c>
      <c r="AZ142" s="36">
        <f t="shared" si="72"/>
        <v>0</v>
      </c>
      <c r="BA142" s="36">
        <f t="shared" si="73"/>
        <v>0</v>
      </c>
      <c r="BB142" s="39">
        <f t="shared" si="74"/>
        <v>0</v>
      </c>
    </row>
    <row r="143" spans="2:54" x14ac:dyDescent="0.2">
      <c r="B143" s="65">
        <v>34</v>
      </c>
      <c r="C143" s="35">
        <f t="shared" ref="C143:C174" si="86">IF(B143&lt;=$D$97,DATE(YEAR(C142),MONTH(C142)+12/$D$94,DAY(C142)),"0")</f>
        <v>44835</v>
      </c>
      <c r="D143" s="36">
        <f t="shared" ref="D143:D174" si="87">IF(B143=1,$D$90,G142)</f>
        <v>0</v>
      </c>
      <c r="E143" s="36">
        <f t="shared" si="81"/>
        <v>0</v>
      </c>
      <c r="F143" s="36">
        <f t="shared" si="41"/>
        <v>0</v>
      </c>
      <c r="G143" s="36">
        <f t="shared" si="75"/>
        <v>0</v>
      </c>
      <c r="H143" s="36">
        <f t="shared" si="82"/>
        <v>0</v>
      </c>
      <c r="I143" s="39">
        <f t="shared" si="83"/>
        <v>0</v>
      </c>
      <c r="K143" s="38">
        <f t="shared" si="76"/>
        <v>34</v>
      </c>
      <c r="L143" s="35">
        <f t="shared" ref="L143:L174" si="88">IF(K143&lt;=$M$97,DATE(YEAR(L142),MONTH(L142)+12/$M$94,DAY(L142)),"0")</f>
        <v>44835</v>
      </c>
      <c r="M143" s="36">
        <f t="shared" ref="M143:M174" si="89">IF(K143&lt;=$M$97,P142,0)</f>
        <v>0</v>
      </c>
      <c r="N143" s="36">
        <f t="shared" si="84"/>
        <v>0</v>
      </c>
      <c r="O143" s="36">
        <f t="shared" si="44"/>
        <v>0</v>
      </c>
      <c r="P143" s="36">
        <f t="shared" si="56"/>
        <v>0</v>
      </c>
      <c r="Q143" s="36">
        <f t="shared" ref="Q143:Q174" si="90">IF(K143&lt;=$M$97,Q142+N143,0)</f>
        <v>0</v>
      </c>
      <c r="R143" s="39">
        <f t="shared" ref="R143:R174" si="91">IF(K143&lt;=$D$97,R142+O143,0)</f>
        <v>0</v>
      </c>
      <c r="T143" s="38">
        <f t="shared" si="77"/>
        <v>34</v>
      </c>
      <c r="U143" s="35" t="str">
        <f t="shared" ref="U143:U174" si="92">IF(T143&lt;=$V$97,DATE(YEAR(U142),MONTH(U142)+12/$V$94,DAY(U142)),"0")</f>
        <v>0</v>
      </c>
      <c r="V143" s="36">
        <f t="shared" ref="V143:V174" si="93">IF(T143&lt;=$V$97,Y142,0)</f>
        <v>0</v>
      </c>
      <c r="W143" s="36">
        <f t="shared" si="85"/>
        <v>0</v>
      </c>
      <c r="X143" s="37">
        <f t="shared" si="49"/>
        <v>0</v>
      </c>
      <c r="Y143" s="36">
        <f t="shared" si="57"/>
        <v>0</v>
      </c>
      <c r="Z143" s="36">
        <f t="shared" ref="Z143:Z174" si="94">IF(T143&lt;=$V$97,Z142+W143,0)</f>
        <v>0</v>
      </c>
      <c r="AA143" s="39">
        <f t="shared" ref="AA143:AA174" si="95">IF(T143&lt;=$V$97,AA142+X143,0)</f>
        <v>0</v>
      </c>
      <c r="AB143" s="41"/>
      <c r="AC143" s="38">
        <f t="shared" si="78"/>
        <v>34</v>
      </c>
      <c r="AD143" s="35">
        <f t="shared" si="58"/>
        <v>44835</v>
      </c>
      <c r="AE143" s="36">
        <f t="shared" si="59"/>
        <v>0</v>
      </c>
      <c r="AF143" s="36">
        <f t="shared" si="52"/>
        <v>0</v>
      </c>
      <c r="AG143" s="37">
        <f t="shared" si="53"/>
        <v>0</v>
      </c>
      <c r="AH143" s="36">
        <f t="shared" si="60"/>
        <v>0</v>
      </c>
      <c r="AI143" s="36">
        <f t="shared" si="61"/>
        <v>0</v>
      </c>
      <c r="AJ143" s="39">
        <f t="shared" si="62"/>
        <v>0</v>
      </c>
      <c r="AL143" s="38">
        <f t="shared" si="79"/>
        <v>34</v>
      </c>
      <c r="AM143" s="35">
        <f t="shared" si="63"/>
        <v>44835</v>
      </c>
      <c r="AN143" s="36">
        <f t="shared" si="64"/>
        <v>0</v>
      </c>
      <c r="AO143" s="36">
        <f t="shared" si="54"/>
        <v>0</v>
      </c>
      <c r="AP143" s="37">
        <f t="shared" si="65"/>
        <v>0</v>
      </c>
      <c r="AQ143" s="36">
        <f t="shared" si="66"/>
        <v>0</v>
      </c>
      <c r="AR143" s="36">
        <f t="shared" si="67"/>
        <v>0</v>
      </c>
      <c r="AS143" s="39">
        <f t="shared" si="68"/>
        <v>0</v>
      </c>
      <c r="AU143" s="38">
        <f t="shared" si="80"/>
        <v>34</v>
      </c>
      <c r="AV143" s="35" t="str">
        <f t="shared" si="69"/>
        <v>0</v>
      </c>
      <c r="AW143" s="36">
        <f t="shared" si="70"/>
        <v>0</v>
      </c>
      <c r="AX143" s="36">
        <f t="shared" si="55"/>
        <v>0</v>
      </c>
      <c r="AY143" s="37">
        <f t="shared" si="71"/>
        <v>0</v>
      </c>
      <c r="AZ143" s="36">
        <f t="shared" si="72"/>
        <v>0</v>
      </c>
      <c r="BA143" s="36">
        <f t="shared" si="73"/>
        <v>0</v>
      </c>
      <c r="BB143" s="39">
        <f t="shared" si="74"/>
        <v>0</v>
      </c>
    </row>
    <row r="144" spans="2:54" x14ac:dyDescent="0.2">
      <c r="B144" s="65">
        <v>35</v>
      </c>
      <c r="C144" s="35">
        <f t="shared" si="86"/>
        <v>44866</v>
      </c>
      <c r="D144" s="36">
        <f t="shared" si="87"/>
        <v>0</v>
      </c>
      <c r="E144" s="36">
        <f t="shared" si="81"/>
        <v>0</v>
      </c>
      <c r="F144" s="36">
        <f t="shared" si="41"/>
        <v>0</v>
      </c>
      <c r="G144" s="36">
        <f t="shared" si="75"/>
        <v>0</v>
      </c>
      <c r="H144" s="36">
        <f t="shared" si="82"/>
        <v>0</v>
      </c>
      <c r="I144" s="39">
        <f t="shared" si="83"/>
        <v>0</v>
      </c>
      <c r="K144" s="38">
        <f t="shared" si="76"/>
        <v>35</v>
      </c>
      <c r="L144" s="35">
        <f t="shared" si="88"/>
        <v>44866</v>
      </c>
      <c r="M144" s="36">
        <f t="shared" si="89"/>
        <v>0</v>
      </c>
      <c r="N144" s="36">
        <f t="shared" si="84"/>
        <v>0</v>
      </c>
      <c r="O144" s="36">
        <f t="shared" si="44"/>
        <v>0</v>
      </c>
      <c r="P144" s="36">
        <f t="shared" si="56"/>
        <v>0</v>
      </c>
      <c r="Q144" s="36">
        <f t="shared" si="90"/>
        <v>0</v>
      </c>
      <c r="R144" s="39">
        <f t="shared" si="91"/>
        <v>0</v>
      </c>
      <c r="T144" s="38">
        <f t="shared" si="77"/>
        <v>35</v>
      </c>
      <c r="U144" s="35" t="str">
        <f t="shared" si="92"/>
        <v>0</v>
      </c>
      <c r="V144" s="36">
        <f t="shared" si="93"/>
        <v>0</v>
      </c>
      <c r="W144" s="36">
        <f t="shared" si="85"/>
        <v>0</v>
      </c>
      <c r="X144" s="37">
        <f t="shared" si="49"/>
        <v>0</v>
      </c>
      <c r="Y144" s="36">
        <f t="shared" si="57"/>
        <v>0</v>
      </c>
      <c r="Z144" s="36">
        <f t="shared" si="94"/>
        <v>0</v>
      </c>
      <c r="AA144" s="39">
        <f t="shared" si="95"/>
        <v>0</v>
      </c>
      <c r="AB144" s="41"/>
      <c r="AC144" s="38">
        <f t="shared" si="78"/>
        <v>35</v>
      </c>
      <c r="AD144" s="35">
        <f t="shared" si="58"/>
        <v>44866</v>
      </c>
      <c r="AE144" s="36">
        <f t="shared" si="59"/>
        <v>0</v>
      </c>
      <c r="AF144" s="36">
        <f t="shared" si="52"/>
        <v>0</v>
      </c>
      <c r="AG144" s="37">
        <f t="shared" si="53"/>
        <v>0</v>
      </c>
      <c r="AH144" s="36">
        <f t="shared" si="60"/>
        <v>0</v>
      </c>
      <c r="AI144" s="36">
        <f t="shared" si="61"/>
        <v>0</v>
      </c>
      <c r="AJ144" s="39">
        <f t="shared" si="62"/>
        <v>0</v>
      </c>
      <c r="AL144" s="38">
        <f t="shared" si="79"/>
        <v>35</v>
      </c>
      <c r="AM144" s="35">
        <f t="shared" si="63"/>
        <v>44866</v>
      </c>
      <c r="AN144" s="36">
        <f t="shared" si="64"/>
        <v>0</v>
      </c>
      <c r="AO144" s="36">
        <f t="shared" si="54"/>
        <v>0</v>
      </c>
      <c r="AP144" s="37">
        <f t="shared" si="65"/>
        <v>0</v>
      </c>
      <c r="AQ144" s="36">
        <f t="shared" si="66"/>
        <v>0</v>
      </c>
      <c r="AR144" s="36">
        <f t="shared" si="67"/>
        <v>0</v>
      </c>
      <c r="AS144" s="39">
        <f t="shared" si="68"/>
        <v>0</v>
      </c>
      <c r="AU144" s="38">
        <f t="shared" si="80"/>
        <v>35</v>
      </c>
      <c r="AV144" s="35" t="str">
        <f t="shared" si="69"/>
        <v>0</v>
      </c>
      <c r="AW144" s="36">
        <f t="shared" si="70"/>
        <v>0</v>
      </c>
      <c r="AX144" s="36">
        <f t="shared" si="55"/>
        <v>0</v>
      </c>
      <c r="AY144" s="37">
        <f t="shared" si="71"/>
        <v>0</v>
      </c>
      <c r="AZ144" s="36">
        <f t="shared" si="72"/>
        <v>0</v>
      </c>
      <c r="BA144" s="36">
        <f t="shared" si="73"/>
        <v>0</v>
      </c>
      <c r="BB144" s="39">
        <f t="shared" si="74"/>
        <v>0</v>
      </c>
    </row>
    <row r="145" spans="2:54" x14ac:dyDescent="0.2">
      <c r="B145" s="38">
        <v>36</v>
      </c>
      <c r="C145" s="35">
        <f t="shared" si="86"/>
        <v>44896</v>
      </c>
      <c r="D145" s="36">
        <f t="shared" si="87"/>
        <v>0</v>
      </c>
      <c r="E145" s="36">
        <f t="shared" si="81"/>
        <v>0</v>
      </c>
      <c r="F145" s="36">
        <f t="shared" si="41"/>
        <v>0</v>
      </c>
      <c r="G145" s="36">
        <f t="shared" si="75"/>
        <v>0</v>
      </c>
      <c r="H145" s="36">
        <f t="shared" si="82"/>
        <v>0</v>
      </c>
      <c r="I145" s="39">
        <f t="shared" si="83"/>
        <v>0</v>
      </c>
      <c r="J145" s="41"/>
      <c r="K145" s="38">
        <f t="shared" si="76"/>
        <v>36</v>
      </c>
      <c r="L145" s="35">
        <f t="shared" si="88"/>
        <v>44896</v>
      </c>
      <c r="M145" s="36">
        <f t="shared" si="89"/>
        <v>0</v>
      </c>
      <c r="N145" s="36">
        <f t="shared" si="84"/>
        <v>0</v>
      </c>
      <c r="O145" s="36">
        <f t="shared" si="44"/>
        <v>0</v>
      </c>
      <c r="P145" s="36">
        <f t="shared" si="56"/>
        <v>0</v>
      </c>
      <c r="Q145" s="36">
        <f t="shared" si="90"/>
        <v>0</v>
      </c>
      <c r="R145" s="39">
        <f t="shared" si="91"/>
        <v>0</v>
      </c>
      <c r="S145" s="41"/>
      <c r="T145" s="38">
        <f t="shared" si="77"/>
        <v>36</v>
      </c>
      <c r="U145" s="35" t="str">
        <f t="shared" si="92"/>
        <v>0</v>
      </c>
      <c r="V145" s="36">
        <f t="shared" si="93"/>
        <v>0</v>
      </c>
      <c r="W145" s="36">
        <f t="shared" si="85"/>
        <v>0</v>
      </c>
      <c r="X145" s="37">
        <f t="shared" si="49"/>
        <v>0</v>
      </c>
      <c r="Y145" s="36">
        <f t="shared" si="57"/>
        <v>0</v>
      </c>
      <c r="Z145" s="36">
        <f t="shared" si="94"/>
        <v>0</v>
      </c>
      <c r="AA145" s="39">
        <f t="shared" si="95"/>
        <v>0</v>
      </c>
      <c r="AB145" s="41"/>
      <c r="AC145" s="38">
        <f t="shared" si="78"/>
        <v>36</v>
      </c>
      <c r="AD145" s="35">
        <f t="shared" si="58"/>
        <v>44896</v>
      </c>
      <c r="AE145" s="36">
        <f t="shared" si="59"/>
        <v>0</v>
      </c>
      <c r="AF145" s="36">
        <f t="shared" si="52"/>
        <v>0</v>
      </c>
      <c r="AG145" s="37">
        <f t="shared" si="53"/>
        <v>0</v>
      </c>
      <c r="AH145" s="36">
        <f t="shared" si="60"/>
        <v>0</v>
      </c>
      <c r="AI145" s="36">
        <f t="shared" si="61"/>
        <v>0</v>
      </c>
      <c r="AJ145" s="39">
        <f t="shared" si="62"/>
        <v>0</v>
      </c>
      <c r="AL145" s="38">
        <f t="shared" si="79"/>
        <v>36</v>
      </c>
      <c r="AM145" s="35">
        <f t="shared" si="63"/>
        <v>44896</v>
      </c>
      <c r="AN145" s="36">
        <f t="shared" si="64"/>
        <v>0</v>
      </c>
      <c r="AO145" s="36">
        <f t="shared" si="54"/>
        <v>0</v>
      </c>
      <c r="AP145" s="37">
        <f t="shared" si="65"/>
        <v>0</v>
      </c>
      <c r="AQ145" s="36">
        <f t="shared" si="66"/>
        <v>0</v>
      </c>
      <c r="AR145" s="36">
        <f t="shared" si="67"/>
        <v>0</v>
      </c>
      <c r="AS145" s="39">
        <f t="shared" si="68"/>
        <v>0</v>
      </c>
      <c r="AU145" s="38">
        <f t="shared" si="80"/>
        <v>36</v>
      </c>
      <c r="AV145" s="35" t="str">
        <f t="shared" si="69"/>
        <v>0</v>
      </c>
      <c r="AW145" s="36">
        <f t="shared" si="70"/>
        <v>0</v>
      </c>
      <c r="AX145" s="36">
        <f t="shared" si="55"/>
        <v>0</v>
      </c>
      <c r="AY145" s="37">
        <f t="shared" si="71"/>
        <v>0</v>
      </c>
      <c r="AZ145" s="36">
        <f t="shared" si="72"/>
        <v>0</v>
      </c>
      <c r="BA145" s="36">
        <f t="shared" si="73"/>
        <v>0</v>
      </c>
      <c r="BB145" s="39">
        <f t="shared" si="74"/>
        <v>0</v>
      </c>
    </row>
    <row r="146" spans="2:54" s="41" customFormat="1" x14ac:dyDescent="0.2">
      <c r="B146" s="65">
        <v>37</v>
      </c>
      <c r="C146" s="35">
        <f t="shared" si="86"/>
        <v>44927</v>
      </c>
      <c r="D146" s="36">
        <f t="shared" si="87"/>
        <v>0</v>
      </c>
      <c r="E146" s="36">
        <f t="shared" si="81"/>
        <v>0</v>
      </c>
      <c r="F146" s="36">
        <f t="shared" si="41"/>
        <v>0</v>
      </c>
      <c r="G146" s="36">
        <f t="shared" si="75"/>
        <v>0</v>
      </c>
      <c r="H146" s="36">
        <f t="shared" si="82"/>
        <v>0</v>
      </c>
      <c r="I146" s="39">
        <f t="shared" si="83"/>
        <v>0</v>
      </c>
      <c r="J146"/>
      <c r="K146" s="38">
        <f t="shared" si="76"/>
        <v>37</v>
      </c>
      <c r="L146" s="35">
        <f t="shared" si="88"/>
        <v>44927</v>
      </c>
      <c r="M146" s="36">
        <f t="shared" si="89"/>
        <v>0</v>
      </c>
      <c r="N146" s="36">
        <f t="shared" si="84"/>
        <v>0</v>
      </c>
      <c r="O146" s="36">
        <f t="shared" si="44"/>
        <v>0</v>
      </c>
      <c r="P146" s="36">
        <f t="shared" si="56"/>
        <v>0</v>
      </c>
      <c r="Q146" s="36">
        <f t="shared" si="90"/>
        <v>0</v>
      </c>
      <c r="R146" s="39">
        <f t="shared" si="91"/>
        <v>0</v>
      </c>
      <c r="S146"/>
      <c r="T146" s="38">
        <f t="shared" si="77"/>
        <v>37</v>
      </c>
      <c r="U146" s="35" t="str">
        <f t="shared" si="92"/>
        <v>0</v>
      </c>
      <c r="V146" s="36">
        <f t="shared" si="93"/>
        <v>0</v>
      </c>
      <c r="W146" s="36">
        <f t="shared" si="85"/>
        <v>0</v>
      </c>
      <c r="X146" s="37">
        <f t="shared" si="49"/>
        <v>0</v>
      </c>
      <c r="Y146" s="36">
        <f t="shared" si="57"/>
        <v>0</v>
      </c>
      <c r="Z146" s="36">
        <f t="shared" si="94"/>
        <v>0</v>
      </c>
      <c r="AA146" s="39">
        <f t="shared" si="95"/>
        <v>0</v>
      </c>
      <c r="AC146" s="38">
        <f t="shared" si="78"/>
        <v>37</v>
      </c>
      <c r="AD146" s="35" t="str">
        <f t="shared" si="58"/>
        <v>0</v>
      </c>
      <c r="AE146" s="36">
        <f t="shared" si="59"/>
        <v>0</v>
      </c>
      <c r="AF146" s="36">
        <f t="shared" si="52"/>
        <v>0</v>
      </c>
      <c r="AG146" s="37">
        <f t="shared" si="53"/>
        <v>0</v>
      </c>
      <c r="AH146" s="36">
        <f t="shared" si="60"/>
        <v>0</v>
      </c>
      <c r="AI146" s="36">
        <f t="shared" si="61"/>
        <v>0</v>
      </c>
      <c r="AJ146" s="39">
        <f t="shared" si="62"/>
        <v>0</v>
      </c>
      <c r="AL146" s="38">
        <f t="shared" si="79"/>
        <v>37</v>
      </c>
      <c r="AM146" s="35" t="str">
        <f t="shared" si="63"/>
        <v>0</v>
      </c>
      <c r="AN146" s="36">
        <f t="shared" si="64"/>
        <v>0</v>
      </c>
      <c r="AO146" s="36">
        <f t="shared" si="54"/>
        <v>0</v>
      </c>
      <c r="AP146" s="37">
        <f t="shared" si="65"/>
        <v>0</v>
      </c>
      <c r="AQ146" s="36">
        <f t="shared" si="66"/>
        <v>0</v>
      </c>
      <c r="AR146" s="36">
        <f t="shared" si="67"/>
        <v>0</v>
      </c>
      <c r="AS146" s="39">
        <f t="shared" si="68"/>
        <v>0</v>
      </c>
      <c r="AU146" s="38">
        <f t="shared" si="80"/>
        <v>37</v>
      </c>
      <c r="AV146" s="35" t="str">
        <f t="shared" si="69"/>
        <v>0</v>
      </c>
      <c r="AW146" s="36">
        <f t="shared" si="70"/>
        <v>0</v>
      </c>
      <c r="AX146" s="36">
        <f t="shared" si="55"/>
        <v>0</v>
      </c>
      <c r="AY146" s="37">
        <f t="shared" si="71"/>
        <v>0</v>
      </c>
      <c r="AZ146" s="36">
        <f t="shared" si="72"/>
        <v>0</v>
      </c>
      <c r="BA146" s="36">
        <f t="shared" si="73"/>
        <v>0</v>
      </c>
      <c r="BB146" s="39">
        <f t="shared" si="74"/>
        <v>0</v>
      </c>
    </row>
    <row r="147" spans="2:54" x14ac:dyDescent="0.2">
      <c r="B147" s="65">
        <v>38</v>
      </c>
      <c r="C147" s="35">
        <f t="shared" si="86"/>
        <v>44958</v>
      </c>
      <c r="D147" s="36">
        <f t="shared" si="87"/>
        <v>0</v>
      </c>
      <c r="E147" s="36">
        <f t="shared" si="81"/>
        <v>0</v>
      </c>
      <c r="F147" s="36">
        <f t="shared" si="41"/>
        <v>0</v>
      </c>
      <c r="G147" s="36">
        <f t="shared" si="75"/>
        <v>0</v>
      </c>
      <c r="H147" s="36">
        <f t="shared" si="82"/>
        <v>0</v>
      </c>
      <c r="I147" s="39">
        <f t="shared" si="83"/>
        <v>0</v>
      </c>
      <c r="K147" s="38">
        <f t="shared" si="76"/>
        <v>38</v>
      </c>
      <c r="L147" s="35">
        <f t="shared" si="88"/>
        <v>44958</v>
      </c>
      <c r="M147" s="36">
        <f t="shared" si="89"/>
        <v>0</v>
      </c>
      <c r="N147" s="36">
        <f t="shared" si="84"/>
        <v>0</v>
      </c>
      <c r="O147" s="36">
        <f t="shared" si="44"/>
        <v>0</v>
      </c>
      <c r="P147" s="36">
        <f t="shared" si="56"/>
        <v>0</v>
      </c>
      <c r="Q147" s="36">
        <f t="shared" si="90"/>
        <v>0</v>
      </c>
      <c r="R147" s="39">
        <f t="shared" si="91"/>
        <v>0</v>
      </c>
      <c r="T147" s="38">
        <f t="shared" si="77"/>
        <v>38</v>
      </c>
      <c r="U147" s="35" t="str">
        <f t="shared" si="92"/>
        <v>0</v>
      </c>
      <c r="V147" s="36">
        <f t="shared" si="93"/>
        <v>0</v>
      </c>
      <c r="W147" s="36">
        <f t="shared" si="85"/>
        <v>0</v>
      </c>
      <c r="X147" s="37">
        <f t="shared" si="49"/>
        <v>0</v>
      </c>
      <c r="Y147" s="36">
        <f t="shared" si="57"/>
        <v>0</v>
      </c>
      <c r="Z147" s="36">
        <f t="shared" si="94"/>
        <v>0</v>
      </c>
      <c r="AA147" s="39">
        <f t="shared" si="95"/>
        <v>0</v>
      </c>
      <c r="AB147" s="41"/>
      <c r="AC147" s="38">
        <f t="shared" si="78"/>
        <v>38</v>
      </c>
      <c r="AD147" s="35" t="str">
        <f t="shared" si="58"/>
        <v>0</v>
      </c>
      <c r="AE147" s="36">
        <f t="shared" si="59"/>
        <v>0</v>
      </c>
      <c r="AF147" s="36">
        <f t="shared" si="52"/>
        <v>0</v>
      </c>
      <c r="AG147" s="37">
        <f t="shared" si="53"/>
        <v>0</v>
      </c>
      <c r="AH147" s="36">
        <f t="shared" si="60"/>
        <v>0</v>
      </c>
      <c r="AI147" s="36">
        <f t="shared" si="61"/>
        <v>0</v>
      </c>
      <c r="AJ147" s="39">
        <f t="shared" si="62"/>
        <v>0</v>
      </c>
      <c r="AL147" s="38">
        <f t="shared" si="79"/>
        <v>38</v>
      </c>
      <c r="AM147" s="35" t="str">
        <f t="shared" si="63"/>
        <v>0</v>
      </c>
      <c r="AN147" s="36">
        <f t="shared" si="64"/>
        <v>0</v>
      </c>
      <c r="AO147" s="36">
        <f t="shared" si="54"/>
        <v>0</v>
      </c>
      <c r="AP147" s="37">
        <f t="shared" si="65"/>
        <v>0</v>
      </c>
      <c r="AQ147" s="36">
        <f t="shared" si="66"/>
        <v>0</v>
      </c>
      <c r="AR147" s="36">
        <f t="shared" si="67"/>
        <v>0</v>
      </c>
      <c r="AS147" s="39">
        <f t="shared" si="68"/>
        <v>0</v>
      </c>
      <c r="AU147" s="38">
        <f t="shared" si="80"/>
        <v>38</v>
      </c>
      <c r="AV147" s="35" t="str">
        <f t="shared" si="69"/>
        <v>0</v>
      </c>
      <c r="AW147" s="36">
        <f t="shared" si="70"/>
        <v>0</v>
      </c>
      <c r="AX147" s="36">
        <f t="shared" si="55"/>
        <v>0</v>
      </c>
      <c r="AY147" s="37">
        <f t="shared" si="71"/>
        <v>0</v>
      </c>
      <c r="AZ147" s="36">
        <f t="shared" si="72"/>
        <v>0</v>
      </c>
      <c r="BA147" s="36">
        <f t="shared" si="73"/>
        <v>0</v>
      </c>
      <c r="BB147" s="39">
        <f t="shared" si="74"/>
        <v>0</v>
      </c>
    </row>
    <row r="148" spans="2:54" x14ac:dyDescent="0.2">
      <c r="B148" s="65">
        <v>39</v>
      </c>
      <c r="C148" s="35">
        <f t="shared" si="86"/>
        <v>44986</v>
      </c>
      <c r="D148" s="36">
        <f t="shared" si="87"/>
        <v>0</v>
      </c>
      <c r="E148" s="36">
        <f t="shared" si="81"/>
        <v>0</v>
      </c>
      <c r="F148" s="36">
        <f t="shared" si="41"/>
        <v>0</v>
      </c>
      <c r="G148" s="36">
        <f t="shared" si="75"/>
        <v>0</v>
      </c>
      <c r="H148" s="36">
        <f t="shared" si="82"/>
        <v>0</v>
      </c>
      <c r="I148" s="39">
        <f t="shared" si="83"/>
        <v>0</v>
      </c>
      <c r="K148" s="38">
        <f t="shared" si="76"/>
        <v>39</v>
      </c>
      <c r="L148" s="35">
        <f t="shared" si="88"/>
        <v>44986</v>
      </c>
      <c r="M148" s="36">
        <f t="shared" si="89"/>
        <v>0</v>
      </c>
      <c r="N148" s="36">
        <f t="shared" si="84"/>
        <v>0</v>
      </c>
      <c r="O148" s="36">
        <f t="shared" si="44"/>
        <v>0</v>
      </c>
      <c r="P148" s="36">
        <f t="shared" si="56"/>
        <v>0</v>
      </c>
      <c r="Q148" s="36">
        <f t="shared" si="90"/>
        <v>0</v>
      </c>
      <c r="R148" s="39">
        <f t="shared" si="91"/>
        <v>0</v>
      </c>
      <c r="T148" s="38">
        <f t="shared" si="77"/>
        <v>39</v>
      </c>
      <c r="U148" s="35" t="str">
        <f t="shared" si="92"/>
        <v>0</v>
      </c>
      <c r="V148" s="36">
        <f t="shared" si="93"/>
        <v>0</v>
      </c>
      <c r="W148" s="36">
        <f t="shared" si="85"/>
        <v>0</v>
      </c>
      <c r="X148" s="37">
        <f t="shared" si="49"/>
        <v>0</v>
      </c>
      <c r="Y148" s="36">
        <f t="shared" si="57"/>
        <v>0</v>
      </c>
      <c r="Z148" s="36">
        <f t="shared" si="94"/>
        <v>0</v>
      </c>
      <c r="AA148" s="39">
        <f t="shared" si="95"/>
        <v>0</v>
      </c>
      <c r="AB148" s="41"/>
      <c r="AC148" s="38">
        <f t="shared" si="78"/>
        <v>39</v>
      </c>
      <c r="AD148" s="35" t="str">
        <f t="shared" si="58"/>
        <v>0</v>
      </c>
      <c r="AE148" s="36">
        <f t="shared" si="59"/>
        <v>0</v>
      </c>
      <c r="AF148" s="36">
        <f t="shared" si="52"/>
        <v>0</v>
      </c>
      <c r="AG148" s="37">
        <f t="shared" si="53"/>
        <v>0</v>
      </c>
      <c r="AH148" s="36">
        <f t="shared" si="60"/>
        <v>0</v>
      </c>
      <c r="AI148" s="36">
        <f t="shared" si="61"/>
        <v>0</v>
      </c>
      <c r="AJ148" s="39">
        <f t="shared" si="62"/>
        <v>0</v>
      </c>
      <c r="AL148" s="38">
        <f t="shared" si="79"/>
        <v>39</v>
      </c>
      <c r="AM148" s="35" t="str">
        <f t="shared" si="63"/>
        <v>0</v>
      </c>
      <c r="AN148" s="36">
        <f t="shared" si="64"/>
        <v>0</v>
      </c>
      <c r="AO148" s="36">
        <f t="shared" si="54"/>
        <v>0</v>
      </c>
      <c r="AP148" s="37">
        <f t="shared" si="65"/>
        <v>0</v>
      </c>
      <c r="AQ148" s="36">
        <f t="shared" si="66"/>
        <v>0</v>
      </c>
      <c r="AR148" s="36">
        <f t="shared" si="67"/>
        <v>0</v>
      </c>
      <c r="AS148" s="39">
        <f t="shared" si="68"/>
        <v>0</v>
      </c>
      <c r="AU148" s="38">
        <f t="shared" si="80"/>
        <v>39</v>
      </c>
      <c r="AV148" s="35" t="str">
        <f t="shared" si="69"/>
        <v>0</v>
      </c>
      <c r="AW148" s="36">
        <f t="shared" si="70"/>
        <v>0</v>
      </c>
      <c r="AX148" s="36">
        <f t="shared" si="55"/>
        <v>0</v>
      </c>
      <c r="AY148" s="37">
        <f t="shared" si="71"/>
        <v>0</v>
      </c>
      <c r="AZ148" s="36">
        <f t="shared" si="72"/>
        <v>0</v>
      </c>
      <c r="BA148" s="36">
        <f t="shared" si="73"/>
        <v>0</v>
      </c>
      <c r="BB148" s="39">
        <f t="shared" si="74"/>
        <v>0</v>
      </c>
    </row>
    <row r="149" spans="2:54" x14ac:dyDescent="0.2">
      <c r="B149" s="65">
        <v>40</v>
      </c>
      <c r="C149" s="35">
        <f t="shared" si="86"/>
        <v>45017</v>
      </c>
      <c r="D149" s="36">
        <f t="shared" si="87"/>
        <v>0</v>
      </c>
      <c r="E149" s="36">
        <f t="shared" si="81"/>
        <v>0</v>
      </c>
      <c r="F149" s="36">
        <f t="shared" si="41"/>
        <v>0</v>
      </c>
      <c r="G149" s="36">
        <f t="shared" si="75"/>
        <v>0</v>
      </c>
      <c r="H149" s="36">
        <f t="shared" si="82"/>
        <v>0</v>
      </c>
      <c r="I149" s="39">
        <f t="shared" si="83"/>
        <v>0</v>
      </c>
      <c r="K149" s="38">
        <f t="shared" si="76"/>
        <v>40</v>
      </c>
      <c r="L149" s="35">
        <f t="shared" si="88"/>
        <v>45017</v>
      </c>
      <c r="M149" s="36">
        <f t="shared" si="89"/>
        <v>0</v>
      </c>
      <c r="N149" s="36">
        <f t="shared" si="84"/>
        <v>0</v>
      </c>
      <c r="O149" s="36">
        <f t="shared" si="44"/>
        <v>0</v>
      </c>
      <c r="P149" s="36">
        <f t="shared" si="56"/>
        <v>0</v>
      </c>
      <c r="Q149" s="36">
        <f t="shared" si="90"/>
        <v>0</v>
      </c>
      <c r="R149" s="39">
        <f t="shared" si="91"/>
        <v>0</v>
      </c>
      <c r="T149" s="38">
        <f t="shared" si="77"/>
        <v>40</v>
      </c>
      <c r="U149" s="35" t="str">
        <f t="shared" si="92"/>
        <v>0</v>
      </c>
      <c r="V149" s="36">
        <f t="shared" si="93"/>
        <v>0</v>
      </c>
      <c r="W149" s="36">
        <f t="shared" si="85"/>
        <v>0</v>
      </c>
      <c r="X149" s="37">
        <f t="shared" si="49"/>
        <v>0</v>
      </c>
      <c r="Y149" s="36">
        <f t="shared" si="57"/>
        <v>0</v>
      </c>
      <c r="Z149" s="36">
        <f t="shared" si="94"/>
        <v>0</v>
      </c>
      <c r="AA149" s="39">
        <f t="shared" si="95"/>
        <v>0</v>
      </c>
      <c r="AB149" s="41"/>
      <c r="AC149" s="38">
        <f t="shared" si="78"/>
        <v>40</v>
      </c>
      <c r="AD149" s="35" t="str">
        <f t="shared" si="58"/>
        <v>0</v>
      </c>
      <c r="AE149" s="36">
        <f t="shared" si="59"/>
        <v>0</v>
      </c>
      <c r="AF149" s="36">
        <f t="shared" si="52"/>
        <v>0</v>
      </c>
      <c r="AG149" s="37">
        <f t="shared" si="53"/>
        <v>0</v>
      </c>
      <c r="AH149" s="36">
        <f t="shared" si="60"/>
        <v>0</v>
      </c>
      <c r="AI149" s="36">
        <f t="shared" si="61"/>
        <v>0</v>
      </c>
      <c r="AJ149" s="39">
        <f t="shared" si="62"/>
        <v>0</v>
      </c>
      <c r="AL149" s="38">
        <f t="shared" si="79"/>
        <v>40</v>
      </c>
      <c r="AM149" s="35" t="str">
        <f t="shared" si="63"/>
        <v>0</v>
      </c>
      <c r="AN149" s="36">
        <f t="shared" si="64"/>
        <v>0</v>
      </c>
      <c r="AO149" s="36">
        <f t="shared" si="54"/>
        <v>0</v>
      </c>
      <c r="AP149" s="37">
        <f t="shared" si="65"/>
        <v>0</v>
      </c>
      <c r="AQ149" s="36">
        <f t="shared" si="66"/>
        <v>0</v>
      </c>
      <c r="AR149" s="36">
        <f t="shared" si="67"/>
        <v>0</v>
      </c>
      <c r="AS149" s="39">
        <f t="shared" si="68"/>
        <v>0</v>
      </c>
      <c r="AU149" s="38">
        <f t="shared" si="80"/>
        <v>40</v>
      </c>
      <c r="AV149" s="35" t="str">
        <f t="shared" si="69"/>
        <v>0</v>
      </c>
      <c r="AW149" s="36">
        <f t="shared" si="70"/>
        <v>0</v>
      </c>
      <c r="AX149" s="36">
        <f t="shared" si="55"/>
        <v>0</v>
      </c>
      <c r="AY149" s="37">
        <f t="shared" si="71"/>
        <v>0</v>
      </c>
      <c r="AZ149" s="36">
        <f t="shared" si="72"/>
        <v>0</v>
      </c>
      <c r="BA149" s="36">
        <f t="shared" si="73"/>
        <v>0</v>
      </c>
      <c r="BB149" s="39">
        <f t="shared" si="74"/>
        <v>0</v>
      </c>
    </row>
    <row r="150" spans="2:54" x14ac:dyDescent="0.2">
      <c r="B150" s="65">
        <v>41</v>
      </c>
      <c r="C150" s="35">
        <f t="shared" si="86"/>
        <v>45047</v>
      </c>
      <c r="D150" s="36">
        <f t="shared" si="87"/>
        <v>0</v>
      </c>
      <c r="E150" s="36">
        <f t="shared" si="81"/>
        <v>0</v>
      </c>
      <c r="F150" s="36">
        <f t="shared" si="41"/>
        <v>0</v>
      </c>
      <c r="G150" s="36">
        <f t="shared" si="75"/>
        <v>0</v>
      </c>
      <c r="H150" s="36">
        <f t="shared" si="82"/>
        <v>0</v>
      </c>
      <c r="I150" s="39">
        <f t="shared" si="83"/>
        <v>0</v>
      </c>
      <c r="K150" s="38">
        <f t="shared" si="76"/>
        <v>41</v>
      </c>
      <c r="L150" s="35">
        <f t="shared" si="88"/>
        <v>45047</v>
      </c>
      <c r="M150" s="36">
        <f t="shared" si="89"/>
        <v>0</v>
      </c>
      <c r="N150" s="36">
        <f t="shared" si="84"/>
        <v>0</v>
      </c>
      <c r="O150" s="36">
        <f t="shared" si="44"/>
        <v>0</v>
      </c>
      <c r="P150" s="36">
        <f t="shared" si="56"/>
        <v>0</v>
      </c>
      <c r="Q150" s="36">
        <f t="shared" si="90"/>
        <v>0</v>
      </c>
      <c r="R150" s="39">
        <f t="shared" si="91"/>
        <v>0</v>
      </c>
      <c r="T150" s="38">
        <f t="shared" si="77"/>
        <v>41</v>
      </c>
      <c r="U150" s="35" t="str">
        <f t="shared" si="92"/>
        <v>0</v>
      </c>
      <c r="V150" s="36">
        <f t="shared" si="93"/>
        <v>0</v>
      </c>
      <c r="W150" s="36">
        <f t="shared" si="85"/>
        <v>0</v>
      </c>
      <c r="X150" s="37">
        <f t="shared" si="49"/>
        <v>0</v>
      </c>
      <c r="Y150" s="36">
        <f t="shared" si="57"/>
        <v>0</v>
      </c>
      <c r="Z150" s="36">
        <f t="shared" si="94"/>
        <v>0</v>
      </c>
      <c r="AA150" s="39">
        <f t="shared" si="95"/>
        <v>0</v>
      </c>
      <c r="AB150" s="41"/>
      <c r="AC150" s="38">
        <f t="shared" si="78"/>
        <v>41</v>
      </c>
      <c r="AD150" s="35" t="str">
        <f t="shared" si="58"/>
        <v>0</v>
      </c>
      <c r="AE150" s="36">
        <f t="shared" si="59"/>
        <v>0</v>
      </c>
      <c r="AF150" s="36">
        <f t="shared" si="52"/>
        <v>0</v>
      </c>
      <c r="AG150" s="37">
        <f t="shared" si="53"/>
        <v>0</v>
      </c>
      <c r="AH150" s="36">
        <f t="shared" si="60"/>
        <v>0</v>
      </c>
      <c r="AI150" s="36">
        <f t="shared" si="61"/>
        <v>0</v>
      </c>
      <c r="AJ150" s="39">
        <f t="shared" si="62"/>
        <v>0</v>
      </c>
      <c r="AL150" s="38">
        <f t="shared" si="79"/>
        <v>41</v>
      </c>
      <c r="AM150" s="35" t="str">
        <f t="shared" si="63"/>
        <v>0</v>
      </c>
      <c r="AN150" s="36">
        <f t="shared" si="64"/>
        <v>0</v>
      </c>
      <c r="AO150" s="36">
        <f t="shared" si="54"/>
        <v>0</v>
      </c>
      <c r="AP150" s="37">
        <f t="shared" si="65"/>
        <v>0</v>
      </c>
      <c r="AQ150" s="36">
        <f t="shared" si="66"/>
        <v>0</v>
      </c>
      <c r="AR150" s="36">
        <f t="shared" si="67"/>
        <v>0</v>
      </c>
      <c r="AS150" s="39">
        <f t="shared" si="68"/>
        <v>0</v>
      </c>
      <c r="AU150" s="38">
        <f t="shared" si="80"/>
        <v>41</v>
      </c>
      <c r="AV150" s="35" t="str">
        <f t="shared" si="69"/>
        <v>0</v>
      </c>
      <c r="AW150" s="36">
        <f t="shared" si="70"/>
        <v>0</v>
      </c>
      <c r="AX150" s="36">
        <f t="shared" si="55"/>
        <v>0</v>
      </c>
      <c r="AY150" s="37">
        <f t="shared" si="71"/>
        <v>0</v>
      </c>
      <c r="AZ150" s="36">
        <f t="shared" si="72"/>
        <v>0</v>
      </c>
      <c r="BA150" s="36">
        <f t="shared" si="73"/>
        <v>0</v>
      </c>
      <c r="BB150" s="39">
        <f t="shared" si="74"/>
        <v>0</v>
      </c>
    </row>
    <row r="151" spans="2:54" x14ac:dyDescent="0.2">
      <c r="B151" s="65">
        <v>42</v>
      </c>
      <c r="C151" s="35">
        <f t="shared" si="86"/>
        <v>45078</v>
      </c>
      <c r="D151" s="36">
        <f t="shared" si="87"/>
        <v>0</v>
      </c>
      <c r="E151" s="36">
        <f t="shared" si="81"/>
        <v>0</v>
      </c>
      <c r="F151" s="36">
        <f t="shared" si="41"/>
        <v>0</v>
      </c>
      <c r="G151" s="36">
        <f t="shared" si="75"/>
        <v>0</v>
      </c>
      <c r="H151" s="36">
        <f t="shared" si="82"/>
        <v>0</v>
      </c>
      <c r="I151" s="39">
        <f t="shared" si="83"/>
        <v>0</v>
      </c>
      <c r="K151" s="38">
        <f t="shared" si="76"/>
        <v>42</v>
      </c>
      <c r="L151" s="35">
        <f t="shared" si="88"/>
        <v>45078</v>
      </c>
      <c r="M151" s="36">
        <f t="shared" si="89"/>
        <v>0</v>
      </c>
      <c r="N151" s="36">
        <f t="shared" si="84"/>
        <v>0</v>
      </c>
      <c r="O151" s="36">
        <f t="shared" si="44"/>
        <v>0</v>
      </c>
      <c r="P151" s="36">
        <f t="shared" si="56"/>
        <v>0</v>
      </c>
      <c r="Q151" s="36">
        <f t="shared" si="90"/>
        <v>0</v>
      </c>
      <c r="R151" s="39">
        <f t="shared" si="91"/>
        <v>0</v>
      </c>
      <c r="T151" s="38">
        <f t="shared" si="77"/>
        <v>42</v>
      </c>
      <c r="U151" s="35" t="str">
        <f t="shared" si="92"/>
        <v>0</v>
      </c>
      <c r="V151" s="36">
        <f t="shared" si="93"/>
        <v>0</v>
      </c>
      <c r="W151" s="36">
        <f t="shared" si="85"/>
        <v>0</v>
      </c>
      <c r="X151" s="37">
        <f t="shared" si="49"/>
        <v>0</v>
      </c>
      <c r="Y151" s="36">
        <f t="shared" si="57"/>
        <v>0</v>
      </c>
      <c r="Z151" s="36">
        <f t="shared" si="94"/>
        <v>0</v>
      </c>
      <c r="AA151" s="39">
        <f t="shared" si="95"/>
        <v>0</v>
      </c>
      <c r="AB151" s="41"/>
      <c r="AC151" s="38">
        <f t="shared" si="78"/>
        <v>42</v>
      </c>
      <c r="AD151" s="35" t="str">
        <f t="shared" si="58"/>
        <v>0</v>
      </c>
      <c r="AE151" s="36">
        <f t="shared" si="59"/>
        <v>0</v>
      </c>
      <c r="AF151" s="36">
        <f t="shared" si="52"/>
        <v>0</v>
      </c>
      <c r="AG151" s="37">
        <f t="shared" si="53"/>
        <v>0</v>
      </c>
      <c r="AH151" s="36">
        <f t="shared" si="60"/>
        <v>0</v>
      </c>
      <c r="AI151" s="36">
        <f t="shared" si="61"/>
        <v>0</v>
      </c>
      <c r="AJ151" s="39">
        <f t="shared" si="62"/>
        <v>0</v>
      </c>
      <c r="AL151" s="38">
        <f t="shared" si="79"/>
        <v>42</v>
      </c>
      <c r="AM151" s="35" t="str">
        <f t="shared" si="63"/>
        <v>0</v>
      </c>
      <c r="AN151" s="36">
        <f t="shared" si="64"/>
        <v>0</v>
      </c>
      <c r="AO151" s="36">
        <f t="shared" si="54"/>
        <v>0</v>
      </c>
      <c r="AP151" s="37">
        <f t="shared" si="65"/>
        <v>0</v>
      </c>
      <c r="AQ151" s="36">
        <f t="shared" si="66"/>
        <v>0</v>
      </c>
      <c r="AR151" s="36">
        <f t="shared" si="67"/>
        <v>0</v>
      </c>
      <c r="AS151" s="39">
        <f t="shared" si="68"/>
        <v>0</v>
      </c>
      <c r="AU151" s="38">
        <f t="shared" si="80"/>
        <v>42</v>
      </c>
      <c r="AV151" s="35" t="str">
        <f t="shared" si="69"/>
        <v>0</v>
      </c>
      <c r="AW151" s="36">
        <f t="shared" si="70"/>
        <v>0</v>
      </c>
      <c r="AX151" s="36">
        <f t="shared" si="55"/>
        <v>0</v>
      </c>
      <c r="AY151" s="37">
        <f t="shared" si="71"/>
        <v>0</v>
      </c>
      <c r="AZ151" s="36">
        <f t="shared" si="72"/>
        <v>0</v>
      </c>
      <c r="BA151" s="36">
        <f t="shared" si="73"/>
        <v>0</v>
      </c>
      <c r="BB151" s="39">
        <f t="shared" si="74"/>
        <v>0</v>
      </c>
    </row>
    <row r="152" spans="2:54" x14ac:dyDescent="0.2">
      <c r="B152" s="65">
        <v>43</v>
      </c>
      <c r="C152" s="35">
        <f t="shared" si="86"/>
        <v>45108</v>
      </c>
      <c r="D152" s="36">
        <f t="shared" si="87"/>
        <v>0</v>
      </c>
      <c r="E152" s="36">
        <f t="shared" si="81"/>
        <v>0</v>
      </c>
      <c r="F152" s="36">
        <f t="shared" si="41"/>
        <v>0</v>
      </c>
      <c r="G152" s="36">
        <f t="shared" si="75"/>
        <v>0</v>
      </c>
      <c r="H152" s="36">
        <f t="shared" si="82"/>
        <v>0</v>
      </c>
      <c r="I152" s="39">
        <f t="shared" si="83"/>
        <v>0</v>
      </c>
      <c r="K152" s="38">
        <f t="shared" si="76"/>
        <v>43</v>
      </c>
      <c r="L152" s="35">
        <f t="shared" si="88"/>
        <v>45108</v>
      </c>
      <c r="M152" s="36">
        <f t="shared" si="89"/>
        <v>0</v>
      </c>
      <c r="N152" s="36">
        <f t="shared" si="84"/>
        <v>0</v>
      </c>
      <c r="O152" s="36">
        <f t="shared" si="44"/>
        <v>0</v>
      </c>
      <c r="P152" s="36">
        <f t="shared" si="56"/>
        <v>0</v>
      </c>
      <c r="Q152" s="36">
        <f t="shared" si="90"/>
        <v>0</v>
      </c>
      <c r="R152" s="39">
        <f t="shared" si="91"/>
        <v>0</v>
      </c>
      <c r="T152" s="38">
        <f t="shared" si="77"/>
        <v>43</v>
      </c>
      <c r="U152" s="35" t="str">
        <f t="shared" si="92"/>
        <v>0</v>
      </c>
      <c r="V152" s="36">
        <f t="shared" si="93"/>
        <v>0</v>
      </c>
      <c r="W152" s="36">
        <f t="shared" si="85"/>
        <v>0</v>
      </c>
      <c r="X152" s="37">
        <f t="shared" si="49"/>
        <v>0</v>
      </c>
      <c r="Y152" s="36">
        <f t="shared" si="57"/>
        <v>0</v>
      </c>
      <c r="Z152" s="36">
        <f t="shared" si="94"/>
        <v>0</v>
      </c>
      <c r="AA152" s="39">
        <f t="shared" si="95"/>
        <v>0</v>
      </c>
      <c r="AB152" s="41"/>
      <c r="AC152" s="38">
        <f t="shared" si="78"/>
        <v>43</v>
      </c>
      <c r="AD152" s="35" t="str">
        <f t="shared" si="58"/>
        <v>0</v>
      </c>
      <c r="AE152" s="36">
        <f t="shared" si="59"/>
        <v>0</v>
      </c>
      <c r="AF152" s="36">
        <f t="shared" si="52"/>
        <v>0</v>
      </c>
      <c r="AG152" s="37">
        <f t="shared" si="53"/>
        <v>0</v>
      </c>
      <c r="AH152" s="36">
        <f t="shared" si="60"/>
        <v>0</v>
      </c>
      <c r="AI152" s="36">
        <f t="shared" si="61"/>
        <v>0</v>
      </c>
      <c r="AJ152" s="39">
        <f t="shared" si="62"/>
        <v>0</v>
      </c>
      <c r="AL152" s="38">
        <f t="shared" si="79"/>
        <v>43</v>
      </c>
      <c r="AM152" s="35" t="str">
        <f t="shared" si="63"/>
        <v>0</v>
      </c>
      <c r="AN152" s="36">
        <f t="shared" si="64"/>
        <v>0</v>
      </c>
      <c r="AO152" s="36">
        <f t="shared" si="54"/>
        <v>0</v>
      </c>
      <c r="AP152" s="37">
        <f t="shared" si="65"/>
        <v>0</v>
      </c>
      <c r="AQ152" s="36">
        <f t="shared" si="66"/>
        <v>0</v>
      </c>
      <c r="AR152" s="36">
        <f t="shared" si="67"/>
        <v>0</v>
      </c>
      <c r="AS152" s="39">
        <f t="shared" si="68"/>
        <v>0</v>
      </c>
      <c r="AU152" s="38">
        <f t="shared" si="80"/>
        <v>43</v>
      </c>
      <c r="AV152" s="35" t="str">
        <f t="shared" si="69"/>
        <v>0</v>
      </c>
      <c r="AW152" s="36">
        <f t="shared" si="70"/>
        <v>0</v>
      </c>
      <c r="AX152" s="36">
        <f t="shared" si="55"/>
        <v>0</v>
      </c>
      <c r="AY152" s="37">
        <f t="shared" si="71"/>
        <v>0</v>
      </c>
      <c r="AZ152" s="36">
        <f t="shared" si="72"/>
        <v>0</v>
      </c>
      <c r="BA152" s="36">
        <f t="shared" si="73"/>
        <v>0</v>
      </c>
      <c r="BB152" s="39">
        <f t="shared" si="74"/>
        <v>0</v>
      </c>
    </row>
    <row r="153" spans="2:54" x14ac:dyDescent="0.2">
      <c r="B153" s="65">
        <v>44</v>
      </c>
      <c r="C153" s="35">
        <f t="shared" si="86"/>
        <v>45139</v>
      </c>
      <c r="D153" s="36">
        <f t="shared" si="87"/>
        <v>0</v>
      </c>
      <c r="E153" s="36">
        <f t="shared" si="81"/>
        <v>0</v>
      </c>
      <c r="F153" s="36">
        <f t="shared" si="41"/>
        <v>0</v>
      </c>
      <c r="G153" s="36">
        <f t="shared" si="75"/>
        <v>0</v>
      </c>
      <c r="H153" s="36">
        <f t="shared" si="82"/>
        <v>0</v>
      </c>
      <c r="I153" s="39">
        <f t="shared" si="83"/>
        <v>0</v>
      </c>
      <c r="K153" s="38">
        <f t="shared" si="76"/>
        <v>44</v>
      </c>
      <c r="L153" s="35">
        <f t="shared" si="88"/>
        <v>45139</v>
      </c>
      <c r="M153" s="36">
        <f t="shared" si="89"/>
        <v>0</v>
      </c>
      <c r="N153" s="36">
        <f t="shared" si="84"/>
        <v>0</v>
      </c>
      <c r="O153" s="36">
        <f t="shared" si="44"/>
        <v>0</v>
      </c>
      <c r="P153" s="36">
        <f t="shared" si="56"/>
        <v>0</v>
      </c>
      <c r="Q153" s="36">
        <f t="shared" si="90"/>
        <v>0</v>
      </c>
      <c r="R153" s="39">
        <f t="shared" si="91"/>
        <v>0</v>
      </c>
      <c r="T153" s="38">
        <f t="shared" si="77"/>
        <v>44</v>
      </c>
      <c r="U153" s="35" t="str">
        <f t="shared" si="92"/>
        <v>0</v>
      </c>
      <c r="V153" s="36">
        <f t="shared" si="93"/>
        <v>0</v>
      </c>
      <c r="W153" s="36">
        <f t="shared" si="85"/>
        <v>0</v>
      </c>
      <c r="X153" s="37">
        <f t="shared" si="49"/>
        <v>0</v>
      </c>
      <c r="Y153" s="36">
        <f t="shared" si="57"/>
        <v>0</v>
      </c>
      <c r="Z153" s="36">
        <f t="shared" si="94"/>
        <v>0</v>
      </c>
      <c r="AA153" s="39">
        <f t="shared" si="95"/>
        <v>0</v>
      </c>
      <c r="AB153" s="41"/>
      <c r="AC153" s="38">
        <f t="shared" si="78"/>
        <v>44</v>
      </c>
      <c r="AD153" s="35" t="str">
        <f t="shared" si="58"/>
        <v>0</v>
      </c>
      <c r="AE153" s="36">
        <f t="shared" si="59"/>
        <v>0</v>
      </c>
      <c r="AF153" s="36">
        <f t="shared" si="52"/>
        <v>0</v>
      </c>
      <c r="AG153" s="37">
        <f t="shared" si="53"/>
        <v>0</v>
      </c>
      <c r="AH153" s="36">
        <f t="shared" si="60"/>
        <v>0</v>
      </c>
      <c r="AI153" s="36">
        <f t="shared" si="61"/>
        <v>0</v>
      </c>
      <c r="AJ153" s="39">
        <f t="shared" si="62"/>
        <v>0</v>
      </c>
      <c r="AL153" s="38">
        <f t="shared" si="79"/>
        <v>44</v>
      </c>
      <c r="AM153" s="35" t="str">
        <f t="shared" si="63"/>
        <v>0</v>
      </c>
      <c r="AN153" s="36">
        <f t="shared" si="64"/>
        <v>0</v>
      </c>
      <c r="AO153" s="36">
        <f t="shared" si="54"/>
        <v>0</v>
      </c>
      <c r="AP153" s="37">
        <f t="shared" si="65"/>
        <v>0</v>
      </c>
      <c r="AQ153" s="36">
        <f t="shared" si="66"/>
        <v>0</v>
      </c>
      <c r="AR153" s="36">
        <f t="shared" si="67"/>
        <v>0</v>
      </c>
      <c r="AS153" s="39">
        <f t="shared" si="68"/>
        <v>0</v>
      </c>
      <c r="AU153" s="38">
        <f t="shared" si="80"/>
        <v>44</v>
      </c>
      <c r="AV153" s="35" t="str">
        <f t="shared" si="69"/>
        <v>0</v>
      </c>
      <c r="AW153" s="36">
        <f t="shared" si="70"/>
        <v>0</v>
      </c>
      <c r="AX153" s="36">
        <f t="shared" si="55"/>
        <v>0</v>
      </c>
      <c r="AY153" s="37">
        <f t="shared" si="71"/>
        <v>0</v>
      </c>
      <c r="AZ153" s="36">
        <f t="shared" si="72"/>
        <v>0</v>
      </c>
      <c r="BA153" s="36">
        <f t="shared" si="73"/>
        <v>0</v>
      </c>
      <c r="BB153" s="39">
        <f t="shared" si="74"/>
        <v>0</v>
      </c>
    </row>
    <row r="154" spans="2:54" x14ac:dyDescent="0.2">
      <c r="B154" s="65">
        <v>45</v>
      </c>
      <c r="C154" s="35">
        <f t="shared" si="86"/>
        <v>45170</v>
      </c>
      <c r="D154" s="36">
        <f t="shared" si="87"/>
        <v>0</v>
      </c>
      <c r="E154" s="36">
        <f t="shared" si="81"/>
        <v>0</v>
      </c>
      <c r="F154" s="36">
        <f t="shared" si="41"/>
        <v>0</v>
      </c>
      <c r="G154" s="36">
        <f t="shared" si="75"/>
        <v>0</v>
      </c>
      <c r="H154" s="36">
        <f t="shared" si="82"/>
        <v>0</v>
      </c>
      <c r="I154" s="39">
        <f t="shared" si="83"/>
        <v>0</v>
      </c>
      <c r="K154" s="38">
        <f t="shared" si="76"/>
        <v>45</v>
      </c>
      <c r="L154" s="35">
        <f t="shared" si="88"/>
        <v>45170</v>
      </c>
      <c r="M154" s="36">
        <f t="shared" si="89"/>
        <v>0</v>
      </c>
      <c r="N154" s="36">
        <f t="shared" si="84"/>
        <v>0</v>
      </c>
      <c r="O154" s="36">
        <f t="shared" si="44"/>
        <v>0</v>
      </c>
      <c r="P154" s="36">
        <f t="shared" si="56"/>
        <v>0</v>
      </c>
      <c r="Q154" s="36">
        <f t="shared" si="90"/>
        <v>0</v>
      </c>
      <c r="R154" s="39">
        <f t="shared" si="91"/>
        <v>0</v>
      </c>
      <c r="T154" s="38">
        <f t="shared" si="77"/>
        <v>45</v>
      </c>
      <c r="U154" s="35" t="str">
        <f t="shared" si="92"/>
        <v>0</v>
      </c>
      <c r="V154" s="36">
        <f t="shared" si="93"/>
        <v>0</v>
      </c>
      <c r="W154" s="36">
        <f t="shared" si="85"/>
        <v>0</v>
      </c>
      <c r="X154" s="37">
        <f t="shared" si="49"/>
        <v>0</v>
      </c>
      <c r="Y154" s="36">
        <f t="shared" si="57"/>
        <v>0</v>
      </c>
      <c r="Z154" s="36">
        <f t="shared" si="94"/>
        <v>0</v>
      </c>
      <c r="AA154" s="39">
        <f t="shared" si="95"/>
        <v>0</v>
      </c>
      <c r="AB154" s="41"/>
      <c r="AC154" s="38">
        <f t="shared" si="78"/>
        <v>45</v>
      </c>
      <c r="AD154" s="35" t="str">
        <f t="shared" si="58"/>
        <v>0</v>
      </c>
      <c r="AE154" s="36">
        <f t="shared" si="59"/>
        <v>0</v>
      </c>
      <c r="AF154" s="36">
        <f t="shared" si="52"/>
        <v>0</v>
      </c>
      <c r="AG154" s="37">
        <f t="shared" si="53"/>
        <v>0</v>
      </c>
      <c r="AH154" s="36">
        <f t="shared" si="60"/>
        <v>0</v>
      </c>
      <c r="AI154" s="36">
        <f t="shared" si="61"/>
        <v>0</v>
      </c>
      <c r="AJ154" s="39">
        <f t="shared" si="62"/>
        <v>0</v>
      </c>
      <c r="AL154" s="38">
        <f t="shared" si="79"/>
        <v>45</v>
      </c>
      <c r="AM154" s="35" t="str">
        <f t="shared" si="63"/>
        <v>0</v>
      </c>
      <c r="AN154" s="36">
        <f t="shared" si="64"/>
        <v>0</v>
      </c>
      <c r="AO154" s="36">
        <f t="shared" si="54"/>
        <v>0</v>
      </c>
      <c r="AP154" s="37">
        <f t="shared" si="65"/>
        <v>0</v>
      </c>
      <c r="AQ154" s="36">
        <f t="shared" si="66"/>
        <v>0</v>
      </c>
      <c r="AR154" s="36">
        <f t="shared" si="67"/>
        <v>0</v>
      </c>
      <c r="AS154" s="39">
        <f t="shared" si="68"/>
        <v>0</v>
      </c>
      <c r="AU154" s="38">
        <f t="shared" si="80"/>
        <v>45</v>
      </c>
      <c r="AV154" s="35" t="str">
        <f t="shared" si="69"/>
        <v>0</v>
      </c>
      <c r="AW154" s="36">
        <f t="shared" si="70"/>
        <v>0</v>
      </c>
      <c r="AX154" s="36">
        <f t="shared" si="55"/>
        <v>0</v>
      </c>
      <c r="AY154" s="37">
        <f t="shared" si="71"/>
        <v>0</v>
      </c>
      <c r="AZ154" s="36">
        <f t="shared" si="72"/>
        <v>0</v>
      </c>
      <c r="BA154" s="36">
        <f t="shared" si="73"/>
        <v>0</v>
      </c>
      <c r="BB154" s="39">
        <f t="shared" si="74"/>
        <v>0</v>
      </c>
    </row>
    <row r="155" spans="2:54" x14ac:dyDescent="0.2">
      <c r="B155" s="65">
        <v>46</v>
      </c>
      <c r="C155" s="35">
        <f t="shared" si="86"/>
        <v>45200</v>
      </c>
      <c r="D155" s="36">
        <f t="shared" si="87"/>
        <v>0</v>
      </c>
      <c r="E155" s="36">
        <f t="shared" si="81"/>
        <v>0</v>
      </c>
      <c r="F155" s="36">
        <f t="shared" si="41"/>
        <v>0</v>
      </c>
      <c r="G155" s="36">
        <f t="shared" si="75"/>
        <v>0</v>
      </c>
      <c r="H155" s="36">
        <f t="shared" si="82"/>
        <v>0</v>
      </c>
      <c r="I155" s="39">
        <f t="shared" si="83"/>
        <v>0</v>
      </c>
      <c r="K155" s="38">
        <f t="shared" si="76"/>
        <v>46</v>
      </c>
      <c r="L155" s="35">
        <f t="shared" si="88"/>
        <v>45200</v>
      </c>
      <c r="M155" s="36">
        <f t="shared" si="89"/>
        <v>0</v>
      </c>
      <c r="N155" s="36">
        <f t="shared" si="84"/>
        <v>0</v>
      </c>
      <c r="O155" s="36">
        <f t="shared" si="44"/>
        <v>0</v>
      </c>
      <c r="P155" s="36">
        <f t="shared" si="56"/>
        <v>0</v>
      </c>
      <c r="Q155" s="36">
        <f t="shared" si="90"/>
        <v>0</v>
      </c>
      <c r="R155" s="39">
        <f t="shared" si="91"/>
        <v>0</v>
      </c>
      <c r="T155" s="38">
        <f t="shared" si="77"/>
        <v>46</v>
      </c>
      <c r="U155" s="35" t="str">
        <f t="shared" si="92"/>
        <v>0</v>
      </c>
      <c r="V155" s="36">
        <f t="shared" si="93"/>
        <v>0</v>
      </c>
      <c r="W155" s="36">
        <f t="shared" si="85"/>
        <v>0</v>
      </c>
      <c r="X155" s="37">
        <f t="shared" si="49"/>
        <v>0</v>
      </c>
      <c r="Y155" s="36">
        <f t="shared" si="57"/>
        <v>0</v>
      </c>
      <c r="Z155" s="36">
        <f t="shared" si="94"/>
        <v>0</v>
      </c>
      <c r="AA155" s="39">
        <f t="shared" si="95"/>
        <v>0</v>
      </c>
      <c r="AB155" s="41"/>
      <c r="AC155" s="38">
        <f t="shared" si="78"/>
        <v>46</v>
      </c>
      <c r="AD155" s="35" t="str">
        <f t="shared" si="58"/>
        <v>0</v>
      </c>
      <c r="AE155" s="36">
        <f t="shared" si="59"/>
        <v>0</v>
      </c>
      <c r="AF155" s="36">
        <f t="shared" si="52"/>
        <v>0</v>
      </c>
      <c r="AG155" s="37">
        <f t="shared" si="53"/>
        <v>0</v>
      </c>
      <c r="AH155" s="36">
        <f t="shared" si="60"/>
        <v>0</v>
      </c>
      <c r="AI155" s="36">
        <f t="shared" si="61"/>
        <v>0</v>
      </c>
      <c r="AJ155" s="39">
        <f t="shared" si="62"/>
        <v>0</v>
      </c>
      <c r="AL155" s="38">
        <f t="shared" si="79"/>
        <v>46</v>
      </c>
      <c r="AM155" s="35" t="str">
        <f t="shared" si="63"/>
        <v>0</v>
      </c>
      <c r="AN155" s="36">
        <f t="shared" si="64"/>
        <v>0</v>
      </c>
      <c r="AO155" s="36">
        <f t="shared" si="54"/>
        <v>0</v>
      </c>
      <c r="AP155" s="37">
        <f t="shared" si="65"/>
        <v>0</v>
      </c>
      <c r="AQ155" s="36">
        <f t="shared" si="66"/>
        <v>0</v>
      </c>
      <c r="AR155" s="36">
        <f t="shared" si="67"/>
        <v>0</v>
      </c>
      <c r="AS155" s="39">
        <f t="shared" si="68"/>
        <v>0</v>
      </c>
      <c r="AU155" s="38">
        <f t="shared" si="80"/>
        <v>46</v>
      </c>
      <c r="AV155" s="35" t="str">
        <f t="shared" si="69"/>
        <v>0</v>
      </c>
      <c r="AW155" s="36">
        <f t="shared" si="70"/>
        <v>0</v>
      </c>
      <c r="AX155" s="36">
        <f t="shared" si="55"/>
        <v>0</v>
      </c>
      <c r="AY155" s="37">
        <f t="shared" si="71"/>
        <v>0</v>
      </c>
      <c r="AZ155" s="36">
        <f t="shared" si="72"/>
        <v>0</v>
      </c>
      <c r="BA155" s="36">
        <f t="shared" si="73"/>
        <v>0</v>
      </c>
      <c r="BB155" s="39">
        <f t="shared" si="74"/>
        <v>0</v>
      </c>
    </row>
    <row r="156" spans="2:54" x14ac:dyDescent="0.2">
      <c r="B156" s="65">
        <v>47</v>
      </c>
      <c r="C156" s="35">
        <f t="shared" si="86"/>
        <v>45231</v>
      </c>
      <c r="D156" s="36">
        <f t="shared" si="87"/>
        <v>0</v>
      </c>
      <c r="E156" s="36">
        <f t="shared" si="81"/>
        <v>0</v>
      </c>
      <c r="F156" s="36">
        <f t="shared" si="41"/>
        <v>0</v>
      </c>
      <c r="G156" s="36">
        <f t="shared" si="75"/>
        <v>0</v>
      </c>
      <c r="H156" s="36">
        <f t="shared" si="82"/>
        <v>0</v>
      </c>
      <c r="I156" s="39">
        <f t="shared" si="83"/>
        <v>0</v>
      </c>
      <c r="K156" s="38">
        <f t="shared" si="76"/>
        <v>47</v>
      </c>
      <c r="L156" s="35">
        <f t="shared" si="88"/>
        <v>45231</v>
      </c>
      <c r="M156" s="36">
        <f t="shared" si="89"/>
        <v>0</v>
      </c>
      <c r="N156" s="36">
        <f t="shared" si="84"/>
        <v>0</v>
      </c>
      <c r="O156" s="36">
        <f t="shared" si="44"/>
        <v>0</v>
      </c>
      <c r="P156" s="36">
        <f t="shared" si="56"/>
        <v>0</v>
      </c>
      <c r="Q156" s="36">
        <f t="shared" si="90"/>
        <v>0</v>
      </c>
      <c r="R156" s="39">
        <f t="shared" si="91"/>
        <v>0</v>
      </c>
      <c r="T156" s="38">
        <f t="shared" si="77"/>
        <v>47</v>
      </c>
      <c r="U156" s="35" t="str">
        <f t="shared" si="92"/>
        <v>0</v>
      </c>
      <c r="V156" s="36">
        <f t="shared" si="93"/>
        <v>0</v>
      </c>
      <c r="W156" s="36">
        <f t="shared" si="85"/>
        <v>0</v>
      </c>
      <c r="X156" s="37">
        <f t="shared" si="49"/>
        <v>0</v>
      </c>
      <c r="Y156" s="36">
        <f t="shared" si="57"/>
        <v>0</v>
      </c>
      <c r="Z156" s="36">
        <f t="shared" si="94"/>
        <v>0</v>
      </c>
      <c r="AA156" s="39">
        <f t="shared" si="95"/>
        <v>0</v>
      </c>
      <c r="AB156" s="41"/>
      <c r="AC156" s="38">
        <f t="shared" si="78"/>
        <v>47</v>
      </c>
      <c r="AD156" s="35" t="str">
        <f t="shared" si="58"/>
        <v>0</v>
      </c>
      <c r="AE156" s="36">
        <f t="shared" si="59"/>
        <v>0</v>
      </c>
      <c r="AF156" s="36">
        <f t="shared" si="52"/>
        <v>0</v>
      </c>
      <c r="AG156" s="37">
        <f t="shared" si="53"/>
        <v>0</v>
      </c>
      <c r="AH156" s="36">
        <f t="shared" si="60"/>
        <v>0</v>
      </c>
      <c r="AI156" s="36">
        <f t="shared" si="61"/>
        <v>0</v>
      </c>
      <c r="AJ156" s="39">
        <f t="shared" si="62"/>
        <v>0</v>
      </c>
      <c r="AL156" s="38">
        <f t="shared" si="79"/>
        <v>47</v>
      </c>
      <c r="AM156" s="35" t="str">
        <f t="shared" si="63"/>
        <v>0</v>
      </c>
      <c r="AN156" s="36">
        <f t="shared" si="64"/>
        <v>0</v>
      </c>
      <c r="AO156" s="36">
        <f t="shared" si="54"/>
        <v>0</v>
      </c>
      <c r="AP156" s="37">
        <f t="shared" si="65"/>
        <v>0</v>
      </c>
      <c r="AQ156" s="36">
        <f t="shared" si="66"/>
        <v>0</v>
      </c>
      <c r="AR156" s="36">
        <f t="shared" si="67"/>
        <v>0</v>
      </c>
      <c r="AS156" s="39">
        <f t="shared" si="68"/>
        <v>0</v>
      </c>
      <c r="AU156" s="38">
        <f t="shared" si="80"/>
        <v>47</v>
      </c>
      <c r="AV156" s="35" t="str">
        <f t="shared" si="69"/>
        <v>0</v>
      </c>
      <c r="AW156" s="36">
        <f t="shared" si="70"/>
        <v>0</v>
      </c>
      <c r="AX156" s="36">
        <f t="shared" si="55"/>
        <v>0</v>
      </c>
      <c r="AY156" s="37">
        <f t="shared" si="71"/>
        <v>0</v>
      </c>
      <c r="AZ156" s="36">
        <f t="shared" si="72"/>
        <v>0</v>
      </c>
      <c r="BA156" s="36">
        <f t="shared" si="73"/>
        <v>0</v>
      </c>
      <c r="BB156" s="39">
        <f t="shared" si="74"/>
        <v>0</v>
      </c>
    </row>
    <row r="157" spans="2:54" x14ac:dyDescent="0.2">
      <c r="B157" s="65">
        <v>48</v>
      </c>
      <c r="C157" s="35">
        <f t="shared" si="86"/>
        <v>45261</v>
      </c>
      <c r="D157" s="36">
        <f t="shared" si="87"/>
        <v>0</v>
      </c>
      <c r="E157" s="36">
        <f t="shared" si="81"/>
        <v>0</v>
      </c>
      <c r="F157" s="36">
        <f t="shared" si="41"/>
        <v>0</v>
      </c>
      <c r="G157" s="36">
        <f t="shared" si="75"/>
        <v>0</v>
      </c>
      <c r="H157" s="36">
        <f t="shared" si="82"/>
        <v>0</v>
      </c>
      <c r="I157" s="39">
        <f t="shared" si="83"/>
        <v>0</v>
      </c>
      <c r="K157" s="38">
        <f t="shared" si="76"/>
        <v>48</v>
      </c>
      <c r="L157" s="35">
        <f t="shared" si="88"/>
        <v>45261</v>
      </c>
      <c r="M157" s="36">
        <f t="shared" si="89"/>
        <v>0</v>
      </c>
      <c r="N157" s="36">
        <f t="shared" si="84"/>
        <v>0</v>
      </c>
      <c r="O157" s="36">
        <f t="shared" si="44"/>
        <v>0</v>
      </c>
      <c r="P157" s="36">
        <f t="shared" si="56"/>
        <v>0</v>
      </c>
      <c r="Q157" s="36">
        <f t="shared" si="90"/>
        <v>0</v>
      </c>
      <c r="R157" s="39">
        <f t="shared" si="91"/>
        <v>0</v>
      </c>
      <c r="T157" s="38">
        <f t="shared" si="77"/>
        <v>48</v>
      </c>
      <c r="U157" s="35" t="str">
        <f t="shared" si="92"/>
        <v>0</v>
      </c>
      <c r="V157" s="36">
        <f t="shared" si="93"/>
        <v>0</v>
      </c>
      <c r="W157" s="36">
        <f t="shared" si="85"/>
        <v>0</v>
      </c>
      <c r="X157" s="37">
        <f t="shared" si="49"/>
        <v>0</v>
      </c>
      <c r="Y157" s="36">
        <f t="shared" si="57"/>
        <v>0</v>
      </c>
      <c r="Z157" s="36">
        <f t="shared" si="94"/>
        <v>0</v>
      </c>
      <c r="AA157" s="39">
        <f t="shared" si="95"/>
        <v>0</v>
      </c>
      <c r="AB157" s="41"/>
      <c r="AC157" s="38">
        <f t="shared" si="78"/>
        <v>48</v>
      </c>
      <c r="AD157" s="35" t="str">
        <f t="shared" si="58"/>
        <v>0</v>
      </c>
      <c r="AE157" s="36">
        <f t="shared" si="59"/>
        <v>0</v>
      </c>
      <c r="AF157" s="36">
        <f t="shared" si="52"/>
        <v>0</v>
      </c>
      <c r="AG157" s="37">
        <f t="shared" si="53"/>
        <v>0</v>
      </c>
      <c r="AH157" s="36">
        <f t="shared" si="60"/>
        <v>0</v>
      </c>
      <c r="AI157" s="36">
        <f t="shared" si="61"/>
        <v>0</v>
      </c>
      <c r="AJ157" s="39">
        <f t="shared" si="62"/>
        <v>0</v>
      </c>
      <c r="AL157" s="38">
        <f t="shared" si="79"/>
        <v>48</v>
      </c>
      <c r="AM157" s="35" t="str">
        <f t="shared" si="63"/>
        <v>0</v>
      </c>
      <c r="AN157" s="36">
        <f t="shared" si="64"/>
        <v>0</v>
      </c>
      <c r="AO157" s="36">
        <f t="shared" si="54"/>
        <v>0</v>
      </c>
      <c r="AP157" s="37">
        <f t="shared" si="65"/>
        <v>0</v>
      </c>
      <c r="AQ157" s="36">
        <f t="shared" si="66"/>
        <v>0</v>
      </c>
      <c r="AR157" s="36">
        <f t="shared" si="67"/>
        <v>0</v>
      </c>
      <c r="AS157" s="39">
        <f t="shared" si="68"/>
        <v>0</v>
      </c>
      <c r="AU157" s="38">
        <f t="shared" si="80"/>
        <v>48</v>
      </c>
      <c r="AV157" s="35" t="str">
        <f t="shared" si="69"/>
        <v>0</v>
      </c>
      <c r="AW157" s="36">
        <f t="shared" si="70"/>
        <v>0</v>
      </c>
      <c r="AX157" s="36">
        <f t="shared" si="55"/>
        <v>0</v>
      </c>
      <c r="AY157" s="37">
        <f t="shared" si="71"/>
        <v>0</v>
      </c>
      <c r="AZ157" s="36">
        <f t="shared" si="72"/>
        <v>0</v>
      </c>
      <c r="BA157" s="36">
        <f t="shared" si="73"/>
        <v>0</v>
      </c>
      <c r="BB157" s="39">
        <f t="shared" si="74"/>
        <v>0</v>
      </c>
    </row>
    <row r="158" spans="2:54" x14ac:dyDescent="0.2">
      <c r="B158" s="65">
        <v>49</v>
      </c>
      <c r="C158" s="35">
        <f t="shared" si="86"/>
        <v>45292</v>
      </c>
      <c r="D158" s="36">
        <f t="shared" si="87"/>
        <v>0</v>
      </c>
      <c r="E158" s="36">
        <f t="shared" si="81"/>
        <v>0</v>
      </c>
      <c r="F158" s="36">
        <f t="shared" si="41"/>
        <v>0</v>
      </c>
      <c r="G158" s="36">
        <f t="shared" si="75"/>
        <v>0</v>
      </c>
      <c r="H158" s="36">
        <f t="shared" si="82"/>
        <v>0</v>
      </c>
      <c r="I158" s="39">
        <f t="shared" si="83"/>
        <v>0</v>
      </c>
      <c r="K158" s="38">
        <f t="shared" si="76"/>
        <v>49</v>
      </c>
      <c r="L158" s="35">
        <f t="shared" si="88"/>
        <v>45292</v>
      </c>
      <c r="M158" s="36">
        <f t="shared" si="89"/>
        <v>0</v>
      </c>
      <c r="N158" s="36">
        <f t="shared" si="84"/>
        <v>0</v>
      </c>
      <c r="O158" s="36">
        <f t="shared" si="44"/>
        <v>0</v>
      </c>
      <c r="P158" s="36">
        <f t="shared" si="56"/>
        <v>0</v>
      </c>
      <c r="Q158" s="36">
        <f t="shared" si="90"/>
        <v>0</v>
      </c>
      <c r="R158" s="39">
        <f t="shared" si="91"/>
        <v>0</v>
      </c>
      <c r="T158" s="38">
        <f t="shared" si="77"/>
        <v>49</v>
      </c>
      <c r="U158" s="35" t="str">
        <f t="shared" si="92"/>
        <v>0</v>
      </c>
      <c r="V158" s="36">
        <f t="shared" si="93"/>
        <v>0</v>
      </c>
      <c r="W158" s="36">
        <f t="shared" si="85"/>
        <v>0</v>
      </c>
      <c r="X158" s="37">
        <f t="shared" si="49"/>
        <v>0</v>
      </c>
      <c r="Y158" s="36">
        <f t="shared" si="57"/>
        <v>0</v>
      </c>
      <c r="Z158" s="36">
        <f t="shared" si="94"/>
        <v>0</v>
      </c>
      <c r="AA158" s="39">
        <f t="shared" si="95"/>
        <v>0</v>
      </c>
      <c r="AB158" s="41"/>
      <c r="AC158" s="38">
        <f t="shared" si="78"/>
        <v>49</v>
      </c>
      <c r="AD158" s="35" t="str">
        <f t="shared" si="58"/>
        <v>0</v>
      </c>
      <c r="AE158" s="36">
        <f t="shared" si="59"/>
        <v>0</v>
      </c>
      <c r="AF158" s="36">
        <f t="shared" si="52"/>
        <v>0</v>
      </c>
      <c r="AG158" s="37">
        <f t="shared" si="53"/>
        <v>0</v>
      </c>
      <c r="AH158" s="36">
        <f t="shared" si="60"/>
        <v>0</v>
      </c>
      <c r="AI158" s="36">
        <f t="shared" si="61"/>
        <v>0</v>
      </c>
      <c r="AJ158" s="39">
        <f t="shared" si="62"/>
        <v>0</v>
      </c>
      <c r="AL158" s="38">
        <f t="shared" si="79"/>
        <v>49</v>
      </c>
      <c r="AM158" s="35" t="str">
        <f t="shared" si="63"/>
        <v>0</v>
      </c>
      <c r="AN158" s="36">
        <f t="shared" si="64"/>
        <v>0</v>
      </c>
      <c r="AO158" s="36">
        <f t="shared" si="54"/>
        <v>0</v>
      </c>
      <c r="AP158" s="37">
        <f t="shared" si="65"/>
        <v>0</v>
      </c>
      <c r="AQ158" s="36">
        <f t="shared" si="66"/>
        <v>0</v>
      </c>
      <c r="AR158" s="36">
        <f t="shared" si="67"/>
        <v>0</v>
      </c>
      <c r="AS158" s="39">
        <f t="shared" si="68"/>
        <v>0</v>
      </c>
      <c r="AU158" s="38">
        <f t="shared" si="80"/>
        <v>49</v>
      </c>
      <c r="AV158" s="35" t="str">
        <f t="shared" si="69"/>
        <v>0</v>
      </c>
      <c r="AW158" s="36">
        <f t="shared" si="70"/>
        <v>0</v>
      </c>
      <c r="AX158" s="36">
        <f t="shared" si="55"/>
        <v>0</v>
      </c>
      <c r="AY158" s="37">
        <f t="shared" si="71"/>
        <v>0</v>
      </c>
      <c r="AZ158" s="36">
        <f t="shared" si="72"/>
        <v>0</v>
      </c>
      <c r="BA158" s="36">
        <f t="shared" si="73"/>
        <v>0</v>
      </c>
      <c r="BB158" s="39">
        <f t="shared" si="74"/>
        <v>0</v>
      </c>
    </row>
    <row r="159" spans="2:54" x14ac:dyDescent="0.2">
      <c r="B159" s="65">
        <v>50</v>
      </c>
      <c r="C159" s="35">
        <f t="shared" si="86"/>
        <v>45323</v>
      </c>
      <c r="D159" s="36">
        <f t="shared" si="87"/>
        <v>0</v>
      </c>
      <c r="E159" s="36">
        <f t="shared" si="81"/>
        <v>0</v>
      </c>
      <c r="F159" s="36">
        <f t="shared" si="41"/>
        <v>0</v>
      </c>
      <c r="G159" s="36">
        <f t="shared" si="75"/>
        <v>0</v>
      </c>
      <c r="H159" s="36">
        <f t="shared" si="82"/>
        <v>0</v>
      </c>
      <c r="I159" s="39">
        <f t="shared" si="83"/>
        <v>0</v>
      </c>
      <c r="K159" s="38">
        <f t="shared" si="76"/>
        <v>50</v>
      </c>
      <c r="L159" s="35">
        <f t="shared" si="88"/>
        <v>45323</v>
      </c>
      <c r="M159" s="36">
        <f t="shared" si="89"/>
        <v>0</v>
      </c>
      <c r="N159" s="36">
        <f t="shared" si="84"/>
        <v>0</v>
      </c>
      <c r="O159" s="36">
        <f t="shared" si="44"/>
        <v>0</v>
      </c>
      <c r="P159" s="36">
        <f t="shared" si="56"/>
        <v>0</v>
      </c>
      <c r="Q159" s="36">
        <f t="shared" si="90"/>
        <v>0</v>
      </c>
      <c r="R159" s="39">
        <f t="shared" si="91"/>
        <v>0</v>
      </c>
      <c r="T159" s="38">
        <f t="shared" si="77"/>
        <v>50</v>
      </c>
      <c r="U159" s="35" t="str">
        <f t="shared" si="92"/>
        <v>0</v>
      </c>
      <c r="V159" s="36">
        <f t="shared" si="93"/>
        <v>0</v>
      </c>
      <c r="W159" s="36">
        <f t="shared" si="85"/>
        <v>0</v>
      </c>
      <c r="X159" s="37">
        <f t="shared" si="49"/>
        <v>0</v>
      </c>
      <c r="Y159" s="36">
        <f t="shared" si="57"/>
        <v>0</v>
      </c>
      <c r="Z159" s="36">
        <f t="shared" si="94"/>
        <v>0</v>
      </c>
      <c r="AA159" s="39">
        <f t="shared" si="95"/>
        <v>0</v>
      </c>
      <c r="AB159" s="41"/>
      <c r="AC159" s="38">
        <f t="shared" si="78"/>
        <v>50</v>
      </c>
      <c r="AD159" s="35" t="str">
        <f t="shared" si="58"/>
        <v>0</v>
      </c>
      <c r="AE159" s="36">
        <f t="shared" si="59"/>
        <v>0</v>
      </c>
      <c r="AF159" s="36">
        <f t="shared" si="52"/>
        <v>0</v>
      </c>
      <c r="AG159" s="37">
        <f t="shared" si="53"/>
        <v>0</v>
      </c>
      <c r="AH159" s="36">
        <f t="shared" si="60"/>
        <v>0</v>
      </c>
      <c r="AI159" s="36">
        <f t="shared" si="61"/>
        <v>0</v>
      </c>
      <c r="AJ159" s="39">
        <f t="shared" si="62"/>
        <v>0</v>
      </c>
      <c r="AL159" s="38">
        <f t="shared" si="79"/>
        <v>50</v>
      </c>
      <c r="AM159" s="35" t="str">
        <f t="shared" si="63"/>
        <v>0</v>
      </c>
      <c r="AN159" s="36">
        <f t="shared" si="64"/>
        <v>0</v>
      </c>
      <c r="AO159" s="36">
        <f t="shared" si="54"/>
        <v>0</v>
      </c>
      <c r="AP159" s="37">
        <f t="shared" si="65"/>
        <v>0</v>
      </c>
      <c r="AQ159" s="36">
        <f t="shared" si="66"/>
        <v>0</v>
      </c>
      <c r="AR159" s="36">
        <f t="shared" si="67"/>
        <v>0</v>
      </c>
      <c r="AS159" s="39">
        <f t="shared" si="68"/>
        <v>0</v>
      </c>
      <c r="AU159" s="38">
        <f t="shared" si="80"/>
        <v>50</v>
      </c>
      <c r="AV159" s="35" t="str">
        <f t="shared" si="69"/>
        <v>0</v>
      </c>
      <c r="AW159" s="36">
        <f t="shared" si="70"/>
        <v>0</v>
      </c>
      <c r="AX159" s="36">
        <f t="shared" si="55"/>
        <v>0</v>
      </c>
      <c r="AY159" s="37">
        <f t="shared" si="71"/>
        <v>0</v>
      </c>
      <c r="AZ159" s="36">
        <f t="shared" si="72"/>
        <v>0</v>
      </c>
      <c r="BA159" s="36">
        <f t="shared" si="73"/>
        <v>0</v>
      </c>
      <c r="BB159" s="39">
        <f t="shared" si="74"/>
        <v>0</v>
      </c>
    </row>
    <row r="160" spans="2:54" x14ac:dyDescent="0.2">
      <c r="B160" s="65">
        <v>51</v>
      </c>
      <c r="C160" s="35">
        <f t="shared" si="86"/>
        <v>45352</v>
      </c>
      <c r="D160" s="36">
        <f t="shared" si="87"/>
        <v>0</v>
      </c>
      <c r="E160" s="36">
        <f t="shared" si="81"/>
        <v>0</v>
      </c>
      <c r="F160" s="36">
        <f t="shared" si="41"/>
        <v>0</v>
      </c>
      <c r="G160" s="36">
        <f t="shared" si="75"/>
        <v>0</v>
      </c>
      <c r="H160" s="36">
        <f t="shared" si="82"/>
        <v>0</v>
      </c>
      <c r="I160" s="39">
        <f t="shared" si="83"/>
        <v>0</v>
      </c>
      <c r="K160" s="38">
        <f t="shared" si="76"/>
        <v>51</v>
      </c>
      <c r="L160" s="35">
        <f t="shared" si="88"/>
        <v>45352</v>
      </c>
      <c r="M160" s="36">
        <f t="shared" si="89"/>
        <v>0</v>
      </c>
      <c r="N160" s="36">
        <f t="shared" si="84"/>
        <v>0</v>
      </c>
      <c r="O160" s="36">
        <f t="shared" si="44"/>
        <v>0</v>
      </c>
      <c r="P160" s="36">
        <f t="shared" si="56"/>
        <v>0</v>
      </c>
      <c r="Q160" s="36">
        <f t="shared" si="90"/>
        <v>0</v>
      </c>
      <c r="R160" s="39">
        <f t="shared" si="91"/>
        <v>0</v>
      </c>
      <c r="T160" s="38">
        <f t="shared" si="77"/>
        <v>51</v>
      </c>
      <c r="U160" s="35" t="str">
        <f t="shared" si="92"/>
        <v>0</v>
      </c>
      <c r="V160" s="36">
        <f t="shared" si="93"/>
        <v>0</v>
      </c>
      <c r="W160" s="36">
        <f t="shared" si="85"/>
        <v>0</v>
      </c>
      <c r="X160" s="37">
        <f t="shared" si="49"/>
        <v>0</v>
      </c>
      <c r="Y160" s="36">
        <f t="shared" si="57"/>
        <v>0</v>
      </c>
      <c r="Z160" s="36">
        <f t="shared" si="94"/>
        <v>0</v>
      </c>
      <c r="AA160" s="39">
        <f t="shared" si="95"/>
        <v>0</v>
      </c>
      <c r="AB160" s="41"/>
      <c r="AC160" s="38">
        <f t="shared" si="78"/>
        <v>51</v>
      </c>
      <c r="AD160" s="35" t="str">
        <f t="shared" si="58"/>
        <v>0</v>
      </c>
      <c r="AE160" s="36">
        <f t="shared" si="59"/>
        <v>0</v>
      </c>
      <c r="AF160" s="36">
        <f t="shared" si="52"/>
        <v>0</v>
      </c>
      <c r="AG160" s="37">
        <f t="shared" si="53"/>
        <v>0</v>
      </c>
      <c r="AH160" s="36">
        <f t="shared" si="60"/>
        <v>0</v>
      </c>
      <c r="AI160" s="36">
        <f t="shared" si="61"/>
        <v>0</v>
      </c>
      <c r="AJ160" s="39">
        <f t="shared" si="62"/>
        <v>0</v>
      </c>
      <c r="AL160" s="38">
        <f t="shared" si="79"/>
        <v>51</v>
      </c>
      <c r="AM160" s="35" t="str">
        <f t="shared" si="63"/>
        <v>0</v>
      </c>
      <c r="AN160" s="36">
        <f t="shared" si="64"/>
        <v>0</v>
      </c>
      <c r="AO160" s="36">
        <f t="shared" si="54"/>
        <v>0</v>
      </c>
      <c r="AP160" s="37">
        <f t="shared" si="65"/>
        <v>0</v>
      </c>
      <c r="AQ160" s="36">
        <f t="shared" si="66"/>
        <v>0</v>
      </c>
      <c r="AR160" s="36">
        <f t="shared" si="67"/>
        <v>0</v>
      </c>
      <c r="AS160" s="39">
        <f t="shared" si="68"/>
        <v>0</v>
      </c>
      <c r="AU160" s="38">
        <f t="shared" si="80"/>
        <v>51</v>
      </c>
      <c r="AV160" s="35" t="str">
        <f t="shared" si="69"/>
        <v>0</v>
      </c>
      <c r="AW160" s="36">
        <f t="shared" si="70"/>
        <v>0</v>
      </c>
      <c r="AX160" s="36">
        <f t="shared" si="55"/>
        <v>0</v>
      </c>
      <c r="AY160" s="37">
        <f t="shared" si="71"/>
        <v>0</v>
      </c>
      <c r="AZ160" s="36">
        <f t="shared" si="72"/>
        <v>0</v>
      </c>
      <c r="BA160" s="36">
        <f t="shared" si="73"/>
        <v>0</v>
      </c>
      <c r="BB160" s="39">
        <f t="shared" si="74"/>
        <v>0</v>
      </c>
    </row>
    <row r="161" spans="2:54" x14ac:dyDescent="0.2">
      <c r="B161" s="65">
        <v>52</v>
      </c>
      <c r="C161" s="35">
        <f t="shared" si="86"/>
        <v>45383</v>
      </c>
      <c r="D161" s="36">
        <f t="shared" si="87"/>
        <v>0</v>
      </c>
      <c r="E161" s="36">
        <f t="shared" si="81"/>
        <v>0</v>
      </c>
      <c r="F161" s="36">
        <f t="shared" si="41"/>
        <v>0</v>
      </c>
      <c r="G161" s="36">
        <f t="shared" si="75"/>
        <v>0</v>
      </c>
      <c r="H161" s="36">
        <f t="shared" si="82"/>
        <v>0</v>
      </c>
      <c r="I161" s="39">
        <f t="shared" si="83"/>
        <v>0</v>
      </c>
      <c r="K161" s="38">
        <f t="shared" si="76"/>
        <v>52</v>
      </c>
      <c r="L161" s="35">
        <f t="shared" si="88"/>
        <v>45383</v>
      </c>
      <c r="M161" s="36">
        <f t="shared" si="89"/>
        <v>0</v>
      </c>
      <c r="N161" s="36">
        <f t="shared" si="84"/>
        <v>0</v>
      </c>
      <c r="O161" s="36">
        <f t="shared" si="44"/>
        <v>0</v>
      </c>
      <c r="P161" s="36">
        <f t="shared" si="56"/>
        <v>0</v>
      </c>
      <c r="Q161" s="36">
        <f t="shared" si="90"/>
        <v>0</v>
      </c>
      <c r="R161" s="39">
        <f t="shared" si="91"/>
        <v>0</v>
      </c>
      <c r="T161" s="38">
        <f t="shared" si="77"/>
        <v>52</v>
      </c>
      <c r="U161" s="35" t="str">
        <f t="shared" si="92"/>
        <v>0</v>
      </c>
      <c r="V161" s="36">
        <f t="shared" si="93"/>
        <v>0</v>
      </c>
      <c r="W161" s="36">
        <f t="shared" si="85"/>
        <v>0</v>
      </c>
      <c r="X161" s="37">
        <f t="shared" si="49"/>
        <v>0</v>
      </c>
      <c r="Y161" s="36">
        <f t="shared" si="57"/>
        <v>0</v>
      </c>
      <c r="Z161" s="36">
        <f t="shared" si="94"/>
        <v>0</v>
      </c>
      <c r="AA161" s="39">
        <f t="shared" si="95"/>
        <v>0</v>
      </c>
      <c r="AB161" s="41"/>
      <c r="AC161" s="38">
        <f t="shared" si="78"/>
        <v>52</v>
      </c>
      <c r="AD161" s="35" t="str">
        <f t="shared" si="58"/>
        <v>0</v>
      </c>
      <c r="AE161" s="36">
        <f t="shared" si="59"/>
        <v>0</v>
      </c>
      <c r="AF161" s="36">
        <f t="shared" si="52"/>
        <v>0</v>
      </c>
      <c r="AG161" s="37">
        <f t="shared" si="53"/>
        <v>0</v>
      </c>
      <c r="AH161" s="36">
        <f t="shared" si="60"/>
        <v>0</v>
      </c>
      <c r="AI161" s="36">
        <f t="shared" si="61"/>
        <v>0</v>
      </c>
      <c r="AJ161" s="39">
        <f t="shared" si="62"/>
        <v>0</v>
      </c>
      <c r="AL161" s="38">
        <f t="shared" si="79"/>
        <v>52</v>
      </c>
      <c r="AM161" s="35" t="str">
        <f t="shared" si="63"/>
        <v>0</v>
      </c>
      <c r="AN161" s="36">
        <f t="shared" si="64"/>
        <v>0</v>
      </c>
      <c r="AO161" s="36">
        <f t="shared" si="54"/>
        <v>0</v>
      </c>
      <c r="AP161" s="37">
        <f t="shared" si="65"/>
        <v>0</v>
      </c>
      <c r="AQ161" s="36">
        <f t="shared" si="66"/>
        <v>0</v>
      </c>
      <c r="AR161" s="36">
        <f t="shared" si="67"/>
        <v>0</v>
      </c>
      <c r="AS161" s="39">
        <f t="shared" si="68"/>
        <v>0</v>
      </c>
      <c r="AU161" s="38">
        <f t="shared" si="80"/>
        <v>52</v>
      </c>
      <c r="AV161" s="35" t="str">
        <f t="shared" si="69"/>
        <v>0</v>
      </c>
      <c r="AW161" s="36">
        <f t="shared" si="70"/>
        <v>0</v>
      </c>
      <c r="AX161" s="36">
        <f t="shared" si="55"/>
        <v>0</v>
      </c>
      <c r="AY161" s="37">
        <f t="shared" si="71"/>
        <v>0</v>
      </c>
      <c r="AZ161" s="36">
        <f t="shared" si="72"/>
        <v>0</v>
      </c>
      <c r="BA161" s="36">
        <f t="shared" si="73"/>
        <v>0</v>
      </c>
      <c r="BB161" s="39">
        <f t="shared" si="74"/>
        <v>0</v>
      </c>
    </row>
    <row r="162" spans="2:54" x14ac:dyDescent="0.2">
      <c r="B162" s="65">
        <v>53</v>
      </c>
      <c r="C162" s="35">
        <f t="shared" si="86"/>
        <v>45413</v>
      </c>
      <c r="D162" s="36">
        <f t="shared" si="87"/>
        <v>0</v>
      </c>
      <c r="E162" s="36">
        <f t="shared" si="81"/>
        <v>0</v>
      </c>
      <c r="F162" s="36">
        <f t="shared" si="41"/>
        <v>0</v>
      </c>
      <c r="G162" s="36">
        <f t="shared" si="75"/>
        <v>0</v>
      </c>
      <c r="H162" s="36">
        <f t="shared" si="82"/>
        <v>0</v>
      </c>
      <c r="I162" s="39">
        <f t="shared" si="83"/>
        <v>0</v>
      </c>
      <c r="K162" s="38">
        <f t="shared" si="76"/>
        <v>53</v>
      </c>
      <c r="L162" s="35">
        <f t="shared" si="88"/>
        <v>45413</v>
      </c>
      <c r="M162" s="36">
        <f t="shared" si="89"/>
        <v>0</v>
      </c>
      <c r="N162" s="36">
        <f t="shared" si="84"/>
        <v>0</v>
      </c>
      <c r="O162" s="36">
        <f t="shared" si="44"/>
        <v>0</v>
      </c>
      <c r="P162" s="36">
        <f t="shared" si="56"/>
        <v>0</v>
      </c>
      <c r="Q162" s="36">
        <f t="shared" si="90"/>
        <v>0</v>
      </c>
      <c r="R162" s="39">
        <f t="shared" si="91"/>
        <v>0</v>
      </c>
      <c r="T162" s="38">
        <f t="shared" si="77"/>
        <v>53</v>
      </c>
      <c r="U162" s="35" t="str">
        <f t="shared" si="92"/>
        <v>0</v>
      </c>
      <c r="V162" s="36">
        <f t="shared" si="93"/>
        <v>0</v>
      </c>
      <c r="W162" s="36">
        <f t="shared" si="85"/>
        <v>0</v>
      </c>
      <c r="X162" s="37">
        <f t="shared" si="49"/>
        <v>0</v>
      </c>
      <c r="Y162" s="36">
        <f t="shared" si="57"/>
        <v>0</v>
      </c>
      <c r="Z162" s="36">
        <f t="shared" si="94"/>
        <v>0</v>
      </c>
      <c r="AA162" s="39">
        <f t="shared" si="95"/>
        <v>0</v>
      </c>
      <c r="AB162" s="41"/>
      <c r="AC162" s="38">
        <f t="shared" si="78"/>
        <v>53</v>
      </c>
      <c r="AD162" s="35" t="str">
        <f t="shared" si="58"/>
        <v>0</v>
      </c>
      <c r="AE162" s="36">
        <f t="shared" si="59"/>
        <v>0</v>
      </c>
      <c r="AF162" s="36">
        <f t="shared" si="52"/>
        <v>0</v>
      </c>
      <c r="AG162" s="37">
        <f t="shared" si="53"/>
        <v>0</v>
      </c>
      <c r="AH162" s="36">
        <f t="shared" si="60"/>
        <v>0</v>
      </c>
      <c r="AI162" s="36">
        <f t="shared" si="61"/>
        <v>0</v>
      </c>
      <c r="AJ162" s="39">
        <f t="shared" si="62"/>
        <v>0</v>
      </c>
      <c r="AL162" s="38">
        <f t="shared" si="79"/>
        <v>53</v>
      </c>
      <c r="AM162" s="35" t="str">
        <f t="shared" si="63"/>
        <v>0</v>
      </c>
      <c r="AN162" s="36">
        <f t="shared" si="64"/>
        <v>0</v>
      </c>
      <c r="AO162" s="36">
        <f t="shared" si="54"/>
        <v>0</v>
      </c>
      <c r="AP162" s="37">
        <f t="shared" si="65"/>
        <v>0</v>
      </c>
      <c r="AQ162" s="36">
        <f t="shared" si="66"/>
        <v>0</v>
      </c>
      <c r="AR162" s="36">
        <f t="shared" si="67"/>
        <v>0</v>
      </c>
      <c r="AS162" s="39">
        <f t="shared" si="68"/>
        <v>0</v>
      </c>
      <c r="AU162" s="38">
        <f t="shared" si="80"/>
        <v>53</v>
      </c>
      <c r="AV162" s="35" t="str">
        <f t="shared" si="69"/>
        <v>0</v>
      </c>
      <c r="AW162" s="36">
        <f t="shared" si="70"/>
        <v>0</v>
      </c>
      <c r="AX162" s="36">
        <f t="shared" si="55"/>
        <v>0</v>
      </c>
      <c r="AY162" s="37">
        <f t="shared" si="71"/>
        <v>0</v>
      </c>
      <c r="AZ162" s="36">
        <f t="shared" si="72"/>
        <v>0</v>
      </c>
      <c r="BA162" s="36">
        <f t="shared" si="73"/>
        <v>0</v>
      </c>
      <c r="BB162" s="39">
        <f t="shared" si="74"/>
        <v>0</v>
      </c>
    </row>
    <row r="163" spans="2:54" x14ac:dyDescent="0.2">
      <c r="B163" s="65">
        <v>54</v>
      </c>
      <c r="C163" s="35">
        <f t="shared" si="86"/>
        <v>45444</v>
      </c>
      <c r="D163" s="36">
        <f t="shared" si="87"/>
        <v>0</v>
      </c>
      <c r="E163" s="36">
        <f t="shared" si="81"/>
        <v>0</v>
      </c>
      <c r="F163" s="36">
        <f t="shared" si="41"/>
        <v>0</v>
      </c>
      <c r="G163" s="36">
        <f t="shared" si="75"/>
        <v>0</v>
      </c>
      <c r="H163" s="36">
        <f t="shared" si="82"/>
        <v>0</v>
      </c>
      <c r="I163" s="39">
        <f t="shared" si="83"/>
        <v>0</v>
      </c>
      <c r="K163" s="38">
        <f t="shared" si="76"/>
        <v>54</v>
      </c>
      <c r="L163" s="35">
        <f t="shared" si="88"/>
        <v>45444</v>
      </c>
      <c r="M163" s="36">
        <f t="shared" si="89"/>
        <v>0</v>
      </c>
      <c r="N163" s="36">
        <f t="shared" si="84"/>
        <v>0</v>
      </c>
      <c r="O163" s="36">
        <f t="shared" si="44"/>
        <v>0</v>
      </c>
      <c r="P163" s="36">
        <f t="shared" si="56"/>
        <v>0</v>
      </c>
      <c r="Q163" s="36">
        <f t="shared" si="90"/>
        <v>0</v>
      </c>
      <c r="R163" s="39">
        <f t="shared" si="91"/>
        <v>0</v>
      </c>
      <c r="T163" s="38">
        <f t="shared" si="77"/>
        <v>54</v>
      </c>
      <c r="U163" s="35" t="str">
        <f t="shared" si="92"/>
        <v>0</v>
      </c>
      <c r="V163" s="36">
        <f t="shared" si="93"/>
        <v>0</v>
      </c>
      <c r="W163" s="36">
        <f t="shared" si="85"/>
        <v>0</v>
      </c>
      <c r="X163" s="37">
        <f t="shared" si="49"/>
        <v>0</v>
      </c>
      <c r="Y163" s="36">
        <f t="shared" si="57"/>
        <v>0</v>
      </c>
      <c r="Z163" s="36">
        <f t="shared" si="94"/>
        <v>0</v>
      </c>
      <c r="AA163" s="39">
        <f t="shared" si="95"/>
        <v>0</v>
      </c>
      <c r="AB163" s="41"/>
      <c r="AC163" s="38">
        <f t="shared" si="78"/>
        <v>54</v>
      </c>
      <c r="AD163" s="35" t="str">
        <f t="shared" si="58"/>
        <v>0</v>
      </c>
      <c r="AE163" s="36">
        <f t="shared" si="59"/>
        <v>0</v>
      </c>
      <c r="AF163" s="36">
        <f t="shared" si="52"/>
        <v>0</v>
      </c>
      <c r="AG163" s="37">
        <f t="shared" si="53"/>
        <v>0</v>
      </c>
      <c r="AH163" s="36">
        <f t="shared" si="60"/>
        <v>0</v>
      </c>
      <c r="AI163" s="36">
        <f t="shared" si="61"/>
        <v>0</v>
      </c>
      <c r="AJ163" s="39">
        <f t="shared" si="62"/>
        <v>0</v>
      </c>
      <c r="AL163" s="38">
        <f t="shared" si="79"/>
        <v>54</v>
      </c>
      <c r="AM163" s="35" t="str">
        <f t="shared" si="63"/>
        <v>0</v>
      </c>
      <c r="AN163" s="36">
        <f t="shared" si="64"/>
        <v>0</v>
      </c>
      <c r="AO163" s="36">
        <f t="shared" si="54"/>
        <v>0</v>
      </c>
      <c r="AP163" s="37">
        <f t="shared" si="65"/>
        <v>0</v>
      </c>
      <c r="AQ163" s="36">
        <f t="shared" si="66"/>
        <v>0</v>
      </c>
      <c r="AR163" s="36">
        <f t="shared" si="67"/>
        <v>0</v>
      </c>
      <c r="AS163" s="39">
        <f t="shared" si="68"/>
        <v>0</v>
      </c>
      <c r="AU163" s="38">
        <f t="shared" si="80"/>
        <v>54</v>
      </c>
      <c r="AV163" s="35" t="str">
        <f t="shared" si="69"/>
        <v>0</v>
      </c>
      <c r="AW163" s="36">
        <f t="shared" si="70"/>
        <v>0</v>
      </c>
      <c r="AX163" s="36">
        <f t="shared" si="55"/>
        <v>0</v>
      </c>
      <c r="AY163" s="37">
        <f t="shared" si="71"/>
        <v>0</v>
      </c>
      <c r="AZ163" s="36">
        <f t="shared" si="72"/>
        <v>0</v>
      </c>
      <c r="BA163" s="36">
        <f t="shared" si="73"/>
        <v>0</v>
      </c>
      <c r="BB163" s="39">
        <f t="shared" si="74"/>
        <v>0</v>
      </c>
    </row>
    <row r="164" spans="2:54" x14ac:dyDescent="0.2">
      <c r="B164" s="65">
        <v>55</v>
      </c>
      <c r="C164" s="35">
        <f t="shared" si="86"/>
        <v>45474</v>
      </c>
      <c r="D164" s="36">
        <f t="shared" si="87"/>
        <v>0</v>
      </c>
      <c r="E164" s="36">
        <f t="shared" si="81"/>
        <v>0</v>
      </c>
      <c r="F164" s="36">
        <f t="shared" si="41"/>
        <v>0</v>
      </c>
      <c r="G164" s="36">
        <f t="shared" si="75"/>
        <v>0</v>
      </c>
      <c r="H164" s="36">
        <f t="shared" si="82"/>
        <v>0</v>
      </c>
      <c r="I164" s="39">
        <f t="shared" si="83"/>
        <v>0</v>
      </c>
      <c r="K164" s="38">
        <f t="shared" si="76"/>
        <v>55</v>
      </c>
      <c r="L164" s="35">
        <f t="shared" si="88"/>
        <v>45474</v>
      </c>
      <c r="M164" s="36">
        <f t="shared" si="89"/>
        <v>0</v>
      </c>
      <c r="N164" s="36">
        <f t="shared" si="84"/>
        <v>0</v>
      </c>
      <c r="O164" s="36">
        <f t="shared" si="44"/>
        <v>0</v>
      </c>
      <c r="P164" s="36">
        <f t="shared" si="56"/>
        <v>0</v>
      </c>
      <c r="Q164" s="36">
        <f t="shared" si="90"/>
        <v>0</v>
      </c>
      <c r="R164" s="39">
        <f t="shared" si="91"/>
        <v>0</v>
      </c>
      <c r="T164" s="38">
        <f t="shared" si="77"/>
        <v>55</v>
      </c>
      <c r="U164" s="35" t="str">
        <f t="shared" si="92"/>
        <v>0</v>
      </c>
      <c r="V164" s="36">
        <f t="shared" si="93"/>
        <v>0</v>
      </c>
      <c r="W164" s="36">
        <f t="shared" si="85"/>
        <v>0</v>
      </c>
      <c r="X164" s="37">
        <f t="shared" si="49"/>
        <v>0</v>
      </c>
      <c r="Y164" s="36">
        <f t="shared" si="57"/>
        <v>0</v>
      </c>
      <c r="Z164" s="36">
        <f t="shared" si="94"/>
        <v>0</v>
      </c>
      <c r="AA164" s="39">
        <f t="shared" si="95"/>
        <v>0</v>
      </c>
      <c r="AB164" s="41"/>
      <c r="AC164" s="38">
        <f t="shared" si="78"/>
        <v>55</v>
      </c>
      <c r="AD164" s="35" t="str">
        <f t="shared" si="58"/>
        <v>0</v>
      </c>
      <c r="AE164" s="36">
        <f t="shared" si="59"/>
        <v>0</v>
      </c>
      <c r="AF164" s="36">
        <f t="shared" si="52"/>
        <v>0</v>
      </c>
      <c r="AG164" s="37">
        <f t="shared" si="53"/>
        <v>0</v>
      </c>
      <c r="AH164" s="36">
        <f t="shared" si="60"/>
        <v>0</v>
      </c>
      <c r="AI164" s="36">
        <f t="shared" si="61"/>
        <v>0</v>
      </c>
      <c r="AJ164" s="39">
        <f t="shared" si="62"/>
        <v>0</v>
      </c>
      <c r="AL164" s="38">
        <f t="shared" si="79"/>
        <v>55</v>
      </c>
      <c r="AM164" s="35" t="str">
        <f t="shared" si="63"/>
        <v>0</v>
      </c>
      <c r="AN164" s="36">
        <f t="shared" si="64"/>
        <v>0</v>
      </c>
      <c r="AO164" s="36">
        <f t="shared" si="54"/>
        <v>0</v>
      </c>
      <c r="AP164" s="37">
        <f t="shared" si="65"/>
        <v>0</v>
      </c>
      <c r="AQ164" s="36">
        <f t="shared" si="66"/>
        <v>0</v>
      </c>
      <c r="AR164" s="36">
        <f t="shared" si="67"/>
        <v>0</v>
      </c>
      <c r="AS164" s="39">
        <f t="shared" si="68"/>
        <v>0</v>
      </c>
      <c r="AU164" s="38">
        <f t="shared" si="80"/>
        <v>55</v>
      </c>
      <c r="AV164" s="35" t="str">
        <f t="shared" si="69"/>
        <v>0</v>
      </c>
      <c r="AW164" s="36">
        <f t="shared" si="70"/>
        <v>0</v>
      </c>
      <c r="AX164" s="36">
        <f t="shared" si="55"/>
        <v>0</v>
      </c>
      <c r="AY164" s="37">
        <f t="shared" si="71"/>
        <v>0</v>
      </c>
      <c r="AZ164" s="36">
        <f t="shared" si="72"/>
        <v>0</v>
      </c>
      <c r="BA164" s="36">
        <f t="shared" si="73"/>
        <v>0</v>
      </c>
      <c r="BB164" s="39">
        <f t="shared" si="74"/>
        <v>0</v>
      </c>
    </row>
    <row r="165" spans="2:54" x14ac:dyDescent="0.2">
      <c r="B165" s="65">
        <v>56</v>
      </c>
      <c r="C165" s="35">
        <f t="shared" si="86"/>
        <v>45505</v>
      </c>
      <c r="D165" s="36">
        <f t="shared" si="87"/>
        <v>0</v>
      </c>
      <c r="E165" s="36">
        <f t="shared" si="81"/>
        <v>0</v>
      </c>
      <c r="F165" s="36">
        <f t="shared" si="41"/>
        <v>0</v>
      </c>
      <c r="G165" s="36">
        <f t="shared" si="75"/>
        <v>0</v>
      </c>
      <c r="H165" s="36">
        <f t="shared" si="82"/>
        <v>0</v>
      </c>
      <c r="I165" s="39">
        <f t="shared" si="83"/>
        <v>0</v>
      </c>
      <c r="K165" s="38">
        <f t="shared" si="76"/>
        <v>56</v>
      </c>
      <c r="L165" s="35">
        <f t="shared" si="88"/>
        <v>45505</v>
      </c>
      <c r="M165" s="36">
        <f t="shared" si="89"/>
        <v>0</v>
      </c>
      <c r="N165" s="36">
        <f t="shared" si="84"/>
        <v>0</v>
      </c>
      <c r="O165" s="36">
        <f t="shared" si="44"/>
        <v>0</v>
      </c>
      <c r="P165" s="36">
        <f t="shared" si="56"/>
        <v>0</v>
      </c>
      <c r="Q165" s="36">
        <f t="shared" si="90"/>
        <v>0</v>
      </c>
      <c r="R165" s="39">
        <f t="shared" si="91"/>
        <v>0</v>
      </c>
      <c r="T165" s="38">
        <f t="shared" si="77"/>
        <v>56</v>
      </c>
      <c r="U165" s="35" t="str">
        <f t="shared" si="92"/>
        <v>0</v>
      </c>
      <c r="V165" s="36">
        <f t="shared" si="93"/>
        <v>0</v>
      </c>
      <c r="W165" s="36">
        <f t="shared" si="85"/>
        <v>0</v>
      </c>
      <c r="X165" s="37">
        <f t="shared" si="49"/>
        <v>0</v>
      </c>
      <c r="Y165" s="36">
        <f t="shared" si="57"/>
        <v>0</v>
      </c>
      <c r="Z165" s="36">
        <f t="shared" si="94"/>
        <v>0</v>
      </c>
      <c r="AA165" s="39">
        <f t="shared" si="95"/>
        <v>0</v>
      </c>
      <c r="AB165" s="41"/>
      <c r="AC165" s="38">
        <f t="shared" si="78"/>
        <v>56</v>
      </c>
      <c r="AD165" s="35" t="str">
        <f t="shared" si="58"/>
        <v>0</v>
      </c>
      <c r="AE165" s="36">
        <f t="shared" si="59"/>
        <v>0</v>
      </c>
      <c r="AF165" s="36">
        <f t="shared" si="52"/>
        <v>0</v>
      </c>
      <c r="AG165" s="37">
        <f t="shared" si="53"/>
        <v>0</v>
      </c>
      <c r="AH165" s="36">
        <f t="shared" si="60"/>
        <v>0</v>
      </c>
      <c r="AI165" s="36">
        <f t="shared" si="61"/>
        <v>0</v>
      </c>
      <c r="AJ165" s="39">
        <f t="shared" si="62"/>
        <v>0</v>
      </c>
      <c r="AL165" s="38">
        <f t="shared" si="79"/>
        <v>56</v>
      </c>
      <c r="AM165" s="35" t="str">
        <f t="shared" si="63"/>
        <v>0</v>
      </c>
      <c r="AN165" s="36">
        <f t="shared" si="64"/>
        <v>0</v>
      </c>
      <c r="AO165" s="36">
        <f t="shared" si="54"/>
        <v>0</v>
      </c>
      <c r="AP165" s="37">
        <f t="shared" si="65"/>
        <v>0</v>
      </c>
      <c r="AQ165" s="36">
        <f t="shared" si="66"/>
        <v>0</v>
      </c>
      <c r="AR165" s="36">
        <f t="shared" si="67"/>
        <v>0</v>
      </c>
      <c r="AS165" s="39">
        <f t="shared" si="68"/>
        <v>0</v>
      </c>
      <c r="AU165" s="38">
        <f t="shared" si="80"/>
        <v>56</v>
      </c>
      <c r="AV165" s="35" t="str">
        <f t="shared" si="69"/>
        <v>0</v>
      </c>
      <c r="AW165" s="36">
        <f t="shared" si="70"/>
        <v>0</v>
      </c>
      <c r="AX165" s="36">
        <f t="shared" si="55"/>
        <v>0</v>
      </c>
      <c r="AY165" s="37">
        <f t="shared" si="71"/>
        <v>0</v>
      </c>
      <c r="AZ165" s="36">
        <f t="shared" si="72"/>
        <v>0</v>
      </c>
      <c r="BA165" s="36">
        <f t="shared" si="73"/>
        <v>0</v>
      </c>
      <c r="BB165" s="39">
        <f t="shared" si="74"/>
        <v>0</v>
      </c>
    </row>
    <row r="166" spans="2:54" x14ac:dyDescent="0.2">
      <c r="B166" s="65">
        <v>57</v>
      </c>
      <c r="C166" s="35">
        <f t="shared" si="86"/>
        <v>45536</v>
      </c>
      <c r="D166" s="36">
        <f t="shared" si="87"/>
        <v>0</v>
      </c>
      <c r="E166" s="36">
        <f t="shared" si="81"/>
        <v>0</v>
      </c>
      <c r="F166" s="36">
        <f t="shared" si="41"/>
        <v>0</v>
      </c>
      <c r="G166" s="36">
        <f t="shared" si="75"/>
        <v>0</v>
      </c>
      <c r="H166" s="36">
        <f t="shared" si="82"/>
        <v>0</v>
      </c>
      <c r="I166" s="39">
        <f t="shared" si="83"/>
        <v>0</v>
      </c>
      <c r="K166" s="38">
        <f t="shared" si="76"/>
        <v>57</v>
      </c>
      <c r="L166" s="35">
        <f t="shared" si="88"/>
        <v>45536</v>
      </c>
      <c r="M166" s="36">
        <f t="shared" si="89"/>
        <v>0</v>
      </c>
      <c r="N166" s="36">
        <f t="shared" si="84"/>
        <v>0</v>
      </c>
      <c r="O166" s="36">
        <f t="shared" si="44"/>
        <v>0</v>
      </c>
      <c r="P166" s="36">
        <f t="shared" si="56"/>
        <v>0</v>
      </c>
      <c r="Q166" s="36">
        <f t="shared" si="90"/>
        <v>0</v>
      </c>
      <c r="R166" s="39">
        <f t="shared" si="91"/>
        <v>0</v>
      </c>
      <c r="T166" s="38">
        <f t="shared" si="77"/>
        <v>57</v>
      </c>
      <c r="U166" s="35" t="str">
        <f t="shared" si="92"/>
        <v>0</v>
      </c>
      <c r="V166" s="36">
        <f t="shared" si="93"/>
        <v>0</v>
      </c>
      <c r="W166" s="36">
        <f t="shared" si="85"/>
        <v>0</v>
      </c>
      <c r="X166" s="37">
        <f t="shared" si="49"/>
        <v>0</v>
      </c>
      <c r="Y166" s="36">
        <f t="shared" si="57"/>
        <v>0</v>
      </c>
      <c r="Z166" s="36">
        <f t="shared" si="94"/>
        <v>0</v>
      </c>
      <c r="AA166" s="39">
        <f t="shared" si="95"/>
        <v>0</v>
      </c>
      <c r="AB166" s="41"/>
      <c r="AC166" s="38">
        <f t="shared" si="78"/>
        <v>57</v>
      </c>
      <c r="AD166" s="35" t="str">
        <f t="shared" si="58"/>
        <v>0</v>
      </c>
      <c r="AE166" s="36">
        <f t="shared" si="59"/>
        <v>0</v>
      </c>
      <c r="AF166" s="36">
        <f t="shared" si="52"/>
        <v>0</v>
      </c>
      <c r="AG166" s="37">
        <f t="shared" si="53"/>
        <v>0</v>
      </c>
      <c r="AH166" s="36">
        <f t="shared" si="60"/>
        <v>0</v>
      </c>
      <c r="AI166" s="36">
        <f t="shared" si="61"/>
        <v>0</v>
      </c>
      <c r="AJ166" s="39">
        <f t="shared" si="62"/>
        <v>0</v>
      </c>
      <c r="AL166" s="38">
        <f t="shared" si="79"/>
        <v>57</v>
      </c>
      <c r="AM166" s="35" t="str">
        <f t="shared" si="63"/>
        <v>0</v>
      </c>
      <c r="AN166" s="36">
        <f t="shared" si="64"/>
        <v>0</v>
      </c>
      <c r="AO166" s="36">
        <f t="shared" si="54"/>
        <v>0</v>
      </c>
      <c r="AP166" s="37">
        <f t="shared" si="65"/>
        <v>0</v>
      </c>
      <c r="AQ166" s="36">
        <f t="shared" si="66"/>
        <v>0</v>
      </c>
      <c r="AR166" s="36">
        <f t="shared" si="67"/>
        <v>0</v>
      </c>
      <c r="AS166" s="39">
        <f t="shared" si="68"/>
        <v>0</v>
      </c>
      <c r="AU166" s="38">
        <f t="shared" si="80"/>
        <v>57</v>
      </c>
      <c r="AV166" s="35" t="str">
        <f t="shared" si="69"/>
        <v>0</v>
      </c>
      <c r="AW166" s="36">
        <f t="shared" si="70"/>
        <v>0</v>
      </c>
      <c r="AX166" s="36">
        <f t="shared" si="55"/>
        <v>0</v>
      </c>
      <c r="AY166" s="37">
        <f t="shared" si="71"/>
        <v>0</v>
      </c>
      <c r="AZ166" s="36">
        <f t="shared" si="72"/>
        <v>0</v>
      </c>
      <c r="BA166" s="36">
        <f t="shared" si="73"/>
        <v>0</v>
      </c>
      <c r="BB166" s="39">
        <f t="shared" si="74"/>
        <v>0</v>
      </c>
    </row>
    <row r="167" spans="2:54" x14ac:dyDescent="0.2">
      <c r="B167" s="65">
        <v>58</v>
      </c>
      <c r="C167" s="35">
        <f t="shared" si="86"/>
        <v>45566</v>
      </c>
      <c r="D167" s="36">
        <f t="shared" si="87"/>
        <v>0</v>
      </c>
      <c r="E167" s="36">
        <f t="shared" si="81"/>
        <v>0</v>
      </c>
      <c r="F167" s="36">
        <f t="shared" si="41"/>
        <v>0</v>
      </c>
      <c r="G167" s="36">
        <f t="shared" si="75"/>
        <v>0</v>
      </c>
      <c r="H167" s="36">
        <f t="shared" si="82"/>
        <v>0</v>
      </c>
      <c r="I167" s="39">
        <f t="shared" si="83"/>
        <v>0</v>
      </c>
      <c r="K167" s="38">
        <f t="shared" si="76"/>
        <v>58</v>
      </c>
      <c r="L167" s="35">
        <f t="shared" si="88"/>
        <v>45566</v>
      </c>
      <c r="M167" s="36">
        <f t="shared" si="89"/>
        <v>0</v>
      </c>
      <c r="N167" s="36">
        <f t="shared" si="84"/>
        <v>0</v>
      </c>
      <c r="O167" s="36">
        <f t="shared" si="44"/>
        <v>0</v>
      </c>
      <c r="P167" s="36">
        <f t="shared" si="56"/>
        <v>0</v>
      </c>
      <c r="Q167" s="36">
        <f t="shared" si="90"/>
        <v>0</v>
      </c>
      <c r="R167" s="39">
        <f t="shared" si="91"/>
        <v>0</v>
      </c>
      <c r="T167" s="38">
        <f t="shared" si="77"/>
        <v>58</v>
      </c>
      <c r="U167" s="35" t="str">
        <f t="shared" si="92"/>
        <v>0</v>
      </c>
      <c r="V167" s="36">
        <f t="shared" si="93"/>
        <v>0</v>
      </c>
      <c r="W167" s="36">
        <f t="shared" si="85"/>
        <v>0</v>
      </c>
      <c r="X167" s="37">
        <f t="shared" si="49"/>
        <v>0</v>
      </c>
      <c r="Y167" s="36">
        <f t="shared" si="57"/>
        <v>0</v>
      </c>
      <c r="Z167" s="36">
        <f t="shared" si="94"/>
        <v>0</v>
      </c>
      <c r="AA167" s="39">
        <f t="shared" si="95"/>
        <v>0</v>
      </c>
      <c r="AB167" s="41"/>
      <c r="AC167" s="38">
        <f t="shared" si="78"/>
        <v>58</v>
      </c>
      <c r="AD167" s="35" t="str">
        <f t="shared" si="58"/>
        <v>0</v>
      </c>
      <c r="AE167" s="36">
        <f t="shared" si="59"/>
        <v>0</v>
      </c>
      <c r="AF167" s="36">
        <f t="shared" si="52"/>
        <v>0</v>
      </c>
      <c r="AG167" s="37">
        <f t="shared" si="53"/>
        <v>0</v>
      </c>
      <c r="AH167" s="36">
        <f t="shared" si="60"/>
        <v>0</v>
      </c>
      <c r="AI167" s="36">
        <f t="shared" si="61"/>
        <v>0</v>
      </c>
      <c r="AJ167" s="39">
        <f t="shared" si="62"/>
        <v>0</v>
      </c>
      <c r="AL167" s="38">
        <f t="shared" si="79"/>
        <v>58</v>
      </c>
      <c r="AM167" s="35" t="str">
        <f t="shared" si="63"/>
        <v>0</v>
      </c>
      <c r="AN167" s="36">
        <f t="shared" si="64"/>
        <v>0</v>
      </c>
      <c r="AO167" s="36">
        <f t="shared" si="54"/>
        <v>0</v>
      </c>
      <c r="AP167" s="37">
        <f t="shared" si="65"/>
        <v>0</v>
      </c>
      <c r="AQ167" s="36">
        <f t="shared" si="66"/>
        <v>0</v>
      </c>
      <c r="AR167" s="36">
        <f t="shared" si="67"/>
        <v>0</v>
      </c>
      <c r="AS167" s="39">
        <f t="shared" si="68"/>
        <v>0</v>
      </c>
      <c r="AU167" s="38">
        <f t="shared" si="80"/>
        <v>58</v>
      </c>
      <c r="AV167" s="35" t="str">
        <f t="shared" si="69"/>
        <v>0</v>
      </c>
      <c r="AW167" s="36">
        <f t="shared" si="70"/>
        <v>0</v>
      </c>
      <c r="AX167" s="36">
        <f t="shared" si="55"/>
        <v>0</v>
      </c>
      <c r="AY167" s="37">
        <f t="shared" si="71"/>
        <v>0</v>
      </c>
      <c r="AZ167" s="36">
        <f t="shared" si="72"/>
        <v>0</v>
      </c>
      <c r="BA167" s="36">
        <f t="shared" si="73"/>
        <v>0</v>
      </c>
      <c r="BB167" s="39">
        <f t="shared" si="74"/>
        <v>0</v>
      </c>
    </row>
    <row r="168" spans="2:54" x14ac:dyDescent="0.2">
      <c r="B168" s="65">
        <v>59</v>
      </c>
      <c r="C168" s="35">
        <f t="shared" si="86"/>
        <v>45597</v>
      </c>
      <c r="D168" s="36">
        <f t="shared" si="87"/>
        <v>0</v>
      </c>
      <c r="E168" s="36">
        <f t="shared" si="81"/>
        <v>0</v>
      </c>
      <c r="F168" s="36">
        <f t="shared" si="41"/>
        <v>0</v>
      </c>
      <c r="G168" s="36">
        <f t="shared" si="75"/>
        <v>0</v>
      </c>
      <c r="H168" s="36">
        <f t="shared" si="82"/>
        <v>0</v>
      </c>
      <c r="I168" s="39">
        <f t="shared" si="83"/>
        <v>0</v>
      </c>
      <c r="K168" s="38">
        <f t="shared" si="76"/>
        <v>59</v>
      </c>
      <c r="L168" s="35">
        <f t="shared" si="88"/>
        <v>45597</v>
      </c>
      <c r="M168" s="36">
        <f t="shared" si="89"/>
        <v>0</v>
      </c>
      <c r="N168" s="36">
        <f t="shared" si="84"/>
        <v>0</v>
      </c>
      <c r="O168" s="36">
        <f t="shared" si="44"/>
        <v>0</v>
      </c>
      <c r="P168" s="36">
        <f t="shared" si="56"/>
        <v>0</v>
      </c>
      <c r="Q168" s="36">
        <f t="shared" si="90"/>
        <v>0</v>
      </c>
      <c r="R168" s="39">
        <f t="shared" si="91"/>
        <v>0</v>
      </c>
      <c r="T168" s="38">
        <f t="shared" si="77"/>
        <v>59</v>
      </c>
      <c r="U168" s="35" t="str">
        <f t="shared" si="92"/>
        <v>0</v>
      </c>
      <c r="V168" s="36">
        <f t="shared" si="93"/>
        <v>0</v>
      </c>
      <c r="W168" s="36">
        <f t="shared" si="85"/>
        <v>0</v>
      </c>
      <c r="X168" s="37">
        <f t="shared" si="49"/>
        <v>0</v>
      </c>
      <c r="Y168" s="36">
        <f t="shared" si="57"/>
        <v>0</v>
      </c>
      <c r="Z168" s="36">
        <f t="shared" si="94"/>
        <v>0</v>
      </c>
      <c r="AA168" s="39">
        <f t="shared" si="95"/>
        <v>0</v>
      </c>
      <c r="AB168" s="41"/>
      <c r="AC168" s="38">
        <f t="shared" si="78"/>
        <v>59</v>
      </c>
      <c r="AD168" s="35" t="str">
        <f t="shared" si="58"/>
        <v>0</v>
      </c>
      <c r="AE168" s="36">
        <f t="shared" si="59"/>
        <v>0</v>
      </c>
      <c r="AF168" s="36">
        <f t="shared" si="52"/>
        <v>0</v>
      </c>
      <c r="AG168" s="37">
        <f t="shared" si="53"/>
        <v>0</v>
      </c>
      <c r="AH168" s="36">
        <f t="shared" si="60"/>
        <v>0</v>
      </c>
      <c r="AI168" s="36">
        <f t="shared" si="61"/>
        <v>0</v>
      </c>
      <c r="AJ168" s="39">
        <f t="shared" si="62"/>
        <v>0</v>
      </c>
      <c r="AL168" s="38">
        <f t="shared" si="79"/>
        <v>59</v>
      </c>
      <c r="AM168" s="35" t="str">
        <f t="shared" si="63"/>
        <v>0</v>
      </c>
      <c r="AN168" s="36">
        <f t="shared" si="64"/>
        <v>0</v>
      </c>
      <c r="AO168" s="36">
        <f t="shared" si="54"/>
        <v>0</v>
      </c>
      <c r="AP168" s="37">
        <f t="shared" si="65"/>
        <v>0</v>
      </c>
      <c r="AQ168" s="36">
        <f t="shared" si="66"/>
        <v>0</v>
      </c>
      <c r="AR168" s="36">
        <f t="shared" si="67"/>
        <v>0</v>
      </c>
      <c r="AS168" s="39">
        <f t="shared" si="68"/>
        <v>0</v>
      </c>
      <c r="AU168" s="38">
        <f t="shared" si="80"/>
        <v>59</v>
      </c>
      <c r="AV168" s="35" t="str">
        <f t="shared" si="69"/>
        <v>0</v>
      </c>
      <c r="AW168" s="36">
        <f t="shared" si="70"/>
        <v>0</v>
      </c>
      <c r="AX168" s="36">
        <f t="shared" si="55"/>
        <v>0</v>
      </c>
      <c r="AY168" s="37">
        <f t="shared" si="71"/>
        <v>0</v>
      </c>
      <c r="AZ168" s="36">
        <f t="shared" si="72"/>
        <v>0</v>
      </c>
      <c r="BA168" s="36">
        <f t="shared" si="73"/>
        <v>0</v>
      </c>
      <c r="BB168" s="39">
        <f t="shared" si="74"/>
        <v>0</v>
      </c>
    </row>
    <row r="169" spans="2:54" x14ac:dyDescent="0.2">
      <c r="B169" s="65">
        <v>60</v>
      </c>
      <c r="C169" s="35">
        <f t="shared" si="86"/>
        <v>45627</v>
      </c>
      <c r="D169" s="36">
        <f t="shared" si="87"/>
        <v>0</v>
      </c>
      <c r="E169" s="36">
        <f t="shared" si="81"/>
        <v>0</v>
      </c>
      <c r="F169" s="36">
        <f t="shared" si="41"/>
        <v>0</v>
      </c>
      <c r="G169" s="36">
        <f t="shared" si="75"/>
        <v>0</v>
      </c>
      <c r="H169" s="36">
        <f t="shared" si="82"/>
        <v>0</v>
      </c>
      <c r="I169" s="39">
        <f t="shared" si="83"/>
        <v>0</v>
      </c>
      <c r="K169" s="38">
        <f t="shared" si="76"/>
        <v>60</v>
      </c>
      <c r="L169" s="35">
        <f t="shared" si="88"/>
        <v>45627</v>
      </c>
      <c r="M169" s="36">
        <f t="shared" si="89"/>
        <v>0</v>
      </c>
      <c r="N169" s="36">
        <f t="shared" si="84"/>
        <v>0</v>
      </c>
      <c r="O169" s="36">
        <f t="shared" si="44"/>
        <v>0</v>
      </c>
      <c r="P169" s="36">
        <f t="shared" si="56"/>
        <v>0</v>
      </c>
      <c r="Q169" s="36">
        <f t="shared" si="90"/>
        <v>0</v>
      </c>
      <c r="R169" s="39">
        <f t="shared" si="91"/>
        <v>0</v>
      </c>
      <c r="T169" s="38">
        <f t="shared" si="77"/>
        <v>60</v>
      </c>
      <c r="U169" s="35" t="str">
        <f t="shared" si="92"/>
        <v>0</v>
      </c>
      <c r="V169" s="36">
        <f t="shared" si="93"/>
        <v>0</v>
      </c>
      <c r="W169" s="36">
        <f t="shared" si="85"/>
        <v>0</v>
      </c>
      <c r="X169" s="37">
        <f t="shared" si="49"/>
        <v>0</v>
      </c>
      <c r="Y169" s="36">
        <f t="shared" si="57"/>
        <v>0</v>
      </c>
      <c r="Z169" s="36">
        <f t="shared" si="94"/>
        <v>0</v>
      </c>
      <c r="AA169" s="39">
        <f t="shared" si="95"/>
        <v>0</v>
      </c>
      <c r="AB169" s="41"/>
      <c r="AC169" s="38">
        <f t="shared" si="78"/>
        <v>60</v>
      </c>
      <c r="AD169" s="35" t="str">
        <f t="shared" si="58"/>
        <v>0</v>
      </c>
      <c r="AE169" s="36">
        <f t="shared" si="59"/>
        <v>0</v>
      </c>
      <c r="AF169" s="36">
        <f t="shared" si="52"/>
        <v>0</v>
      </c>
      <c r="AG169" s="37">
        <f>IF(AC169&lt;$AE$97,$AE$101-AF169,0)+IF(AC169=$AE$97,$AE$90+$AE$101-AF169,0)</f>
        <v>0</v>
      </c>
      <c r="AH169" s="36">
        <f t="shared" si="60"/>
        <v>0</v>
      </c>
      <c r="AI169" s="36">
        <f t="shared" si="61"/>
        <v>0</v>
      </c>
      <c r="AJ169" s="39">
        <f t="shared" si="62"/>
        <v>0</v>
      </c>
      <c r="AL169" s="38">
        <f t="shared" si="79"/>
        <v>60</v>
      </c>
      <c r="AM169" s="35" t="str">
        <f t="shared" si="63"/>
        <v>0</v>
      </c>
      <c r="AN169" s="36">
        <f t="shared" si="64"/>
        <v>0</v>
      </c>
      <c r="AO169" s="36">
        <f t="shared" si="54"/>
        <v>0</v>
      </c>
      <c r="AP169" s="37">
        <f t="shared" si="65"/>
        <v>0</v>
      </c>
      <c r="AQ169" s="36">
        <f t="shared" si="66"/>
        <v>0</v>
      </c>
      <c r="AR169" s="36">
        <f t="shared" si="67"/>
        <v>0</v>
      </c>
      <c r="AS169" s="39">
        <f t="shared" si="68"/>
        <v>0</v>
      </c>
      <c r="AU169" s="38">
        <f t="shared" si="80"/>
        <v>60</v>
      </c>
      <c r="AV169" s="35" t="str">
        <f t="shared" si="69"/>
        <v>0</v>
      </c>
      <c r="AW169" s="36">
        <f t="shared" si="70"/>
        <v>0</v>
      </c>
      <c r="AX169" s="36">
        <f t="shared" si="55"/>
        <v>0</v>
      </c>
      <c r="AY169" s="37">
        <f t="shared" si="71"/>
        <v>0</v>
      </c>
      <c r="AZ169" s="36">
        <f t="shared" si="72"/>
        <v>0</v>
      </c>
      <c r="BA169" s="36">
        <f t="shared" si="73"/>
        <v>0</v>
      </c>
      <c r="BB169" s="39">
        <f t="shared" si="74"/>
        <v>0</v>
      </c>
    </row>
    <row r="170" spans="2:54" x14ac:dyDescent="0.2">
      <c r="B170" s="65">
        <v>61</v>
      </c>
      <c r="C170" s="35" t="str">
        <f t="shared" si="86"/>
        <v>0</v>
      </c>
      <c r="D170" s="36">
        <f t="shared" si="87"/>
        <v>0</v>
      </c>
      <c r="E170" s="36">
        <f t="shared" si="81"/>
        <v>0</v>
      </c>
      <c r="F170" s="36">
        <f t="shared" si="41"/>
        <v>0</v>
      </c>
      <c r="G170" s="36">
        <f t="shared" si="75"/>
        <v>0</v>
      </c>
      <c r="H170" s="36">
        <f t="shared" si="82"/>
        <v>0</v>
      </c>
      <c r="I170" s="39">
        <f t="shared" si="83"/>
        <v>0</v>
      </c>
      <c r="K170" s="38">
        <f t="shared" si="76"/>
        <v>61</v>
      </c>
      <c r="L170" s="35" t="str">
        <f t="shared" si="88"/>
        <v>0</v>
      </c>
      <c r="M170" s="36">
        <f t="shared" si="89"/>
        <v>0</v>
      </c>
      <c r="N170" s="36">
        <f t="shared" si="84"/>
        <v>0</v>
      </c>
      <c r="O170" s="36">
        <f t="shared" si="44"/>
        <v>0</v>
      </c>
      <c r="P170" s="36">
        <f t="shared" si="56"/>
        <v>0</v>
      </c>
      <c r="Q170" s="36">
        <f t="shared" si="90"/>
        <v>0</v>
      </c>
      <c r="R170" s="39">
        <f t="shared" si="91"/>
        <v>0</v>
      </c>
      <c r="T170" s="38">
        <f t="shared" si="77"/>
        <v>61</v>
      </c>
      <c r="U170" s="35" t="str">
        <f t="shared" si="92"/>
        <v>0</v>
      </c>
      <c r="V170" s="36">
        <f t="shared" si="93"/>
        <v>0</v>
      </c>
      <c r="W170" s="36">
        <f t="shared" si="85"/>
        <v>0</v>
      </c>
      <c r="X170" s="37">
        <f t="shared" si="49"/>
        <v>0</v>
      </c>
      <c r="Y170" s="36">
        <f t="shared" si="57"/>
        <v>0</v>
      </c>
      <c r="Z170" s="36">
        <f t="shared" si="94"/>
        <v>0</v>
      </c>
      <c r="AA170" s="39">
        <f t="shared" si="95"/>
        <v>0</v>
      </c>
      <c r="AB170" s="41"/>
      <c r="AC170" s="38">
        <f t="shared" si="78"/>
        <v>61</v>
      </c>
      <c r="AD170" s="35" t="str">
        <f t="shared" si="58"/>
        <v>0</v>
      </c>
      <c r="AE170" s="36">
        <f t="shared" si="59"/>
        <v>0</v>
      </c>
      <c r="AF170" s="36">
        <f t="shared" si="52"/>
        <v>0</v>
      </c>
      <c r="AG170" s="37">
        <f t="shared" ref="AG170:AG229" si="96">IF(AC170&lt;$AE$97,$AE$101-AF170,0)+IF(AC170=$AE$97,$AE$90+$AE$101-AF170,0)</f>
        <v>0</v>
      </c>
      <c r="AH170" s="36">
        <f t="shared" si="60"/>
        <v>0</v>
      </c>
      <c r="AI170" s="36">
        <f t="shared" si="61"/>
        <v>0</v>
      </c>
      <c r="AJ170" s="39">
        <f t="shared" si="62"/>
        <v>0</v>
      </c>
      <c r="AL170" s="38">
        <f t="shared" si="79"/>
        <v>61</v>
      </c>
      <c r="AM170" s="35" t="str">
        <f t="shared" si="63"/>
        <v>0</v>
      </c>
      <c r="AN170" s="36">
        <f t="shared" si="64"/>
        <v>0</v>
      </c>
      <c r="AO170" s="36">
        <f t="shared" si="54"/>
        <v>0</v>
      </c>
      <c r="AP170" s="37">
        <f t="shared" si="65"/>
        <v>0</v>
      </c>
      <c r="AQ170" s="36">
        <f t="shared" si="66"/>
        <v>0</v>
      </c>
      <c r="AR170" s="36">
        <f t="shared" si="67"/>
        <v>0</v>
      </c>
      <c r="AS170" s="39">
        <f t="shared" si="68"/>
        <v>0</v>
      </c>
      <c r="AU170" s="38">
        <f t="shared" si="80"/>
        <v>61</v>
      </c>
      <c r="AV170" s="35" t="str">
        <f t="shared" si="69"/>
        <v>0</v>
      </c>
      <c r="AW170" s="36">
        <f t="shared" si="70"/>
        <v>0</v>
      </c>
      <c r="AX170" s="36">
        <f t="shared" si="55"/>
        <v>0</v>
      </c>
      <c r="AY170" s="37">
        <f t="shared" si="71"/>
        <v>0</v>
      </c>
      <c r="AZ170" s="36">
        <f t="shared" si="72"/>
        <v>0</v>
      </c>
      <c r="BA170" s="36">
        <f t="shared" si="73"/>
        <v>0</v>
      </c>
      <c r="BB170" s="39">
        <f t="shared" si="74"/>
        <v>0</v>
      </c>
    </row>
    <row r="171" spans="2:54" x14ac:dyDescent="0.2">
      <c r="B171" s="65">
        <v>62</v>
      </c>
      <c r="C171" s="35" t="str">
        <f t="shared" si="86"/>
        <v>0</v>
      </c>
      <c r="D171" s="36">
        <f t="shared" si="87"/>
        <v>0</v>
      </c>
      <c r="E171" s="36">
        <f t="shared" si="81"/>
        <v>0</v>
      </c>
      <c r="F171" s="36">
        <f t="shared" si="41"/>
        <v>0</v>
      </c>
      <c r="G171" s="36">
        <f t="shared" si="75"/>
        <v>0</v>
      </c>
      <c r="H171" s="36">
        <f t="shared" si="82"/>
        <v>0</v>
      </c>
      <c r="I171" s="39">
        <f t="shared" si="83"/>
        <v>0</v>
      </c>
      <c r="K171" s="38">
        <f t="shared" si="76"/>
        <v>62</v>
      </c>
      <c r="L171" s="35" t="str">
        <f t="shared" si="88"/>
        <v>0</v>
      </c>
      <c r="M171" s="36">
        <f t="shared" si="89"/>
        <v>0</v>
      </c>
      <c r="N171" s="36">
        <f t="shared" si="84"/>
        <v>0</v>
      </c>
      <c r="O171" s="36">
        <f t="shared" si="44"/>
        <v>0</v>
      </c>
      <c r="P171" s="36">
        <f t="shared" si="56"/>
        <v>0</v>
      </c>
      <c r="Q171" s="36">
        <f t="shared" si="90"/>
        <v>0</v>
      </c>
      <c r="R171" s="39">
        <f t="shared" si="91"/>
        <v>0</v>
      </c>
      <c r="T171" s="38">
        <f t="shared" si="77"/>
        <v>62</v>
      </c>
      <c r="U171" s="35" t="str">
        <f t="shared" si="92"/>
        <v>0</v>
      </c>
      <c r="V171" s="36">
        <f t="shared" si="93"/>
        <v>0</v>
      </c>
      <c r="W171" s="36">
        <f t="shared" si="85"/>
        <v>0</v>
      </c>
      <c r="X171" s="37">
        <f t="shared" si="49"/>
        <v>0</v>
      </c>
      <c r="Y171" s="36">
        <f t="shared" si="57"/>
        <v>0</v>
      </c>
      <c r="Z171" s="36">
        <f t="shared" si="94"/>
        <v>0</v>
      </c>
      <c r="AA171" s="39">
        <f t="shared" si="95"/>
        <v>0</v>
      </c>
      <c r="AB171" s="41"/>
      <c r="AC171" s="38">
        <f t="shared" si="78"/>
        <v>62</v>
      </c>
      <c r="AD171" s="35" t="str">
        <f t="shared" si="58"/>
        <v>0</v>
      </c>
      <c r="AE171" s="36">
        <f t="shared" si="59"/>
        <v>0</v>
      </c>
      <c r="AF171" s="36">
        <f t="shared" si="52"/>
        <v>0</v>
      </c>
      <c r="AG171" s="37">
        <f t="shared" si="96"/>
        <v>0</v>
      </c>
      <c r="AH171" s="36">
        <f t="shared" si="60"/>
        <v>0</v>
      </c>
      <c r="AI171" s="36">
        <f t="shared" si="61"/>
        <v>0</v>
      </c>
      <c r="AJ171" s="39">
        <f t="shared" si="62"/>
        <v>0</v>
      </c>
      <c r="AL171" s="38">
        <f t="shared" si="79"/>
        <v>62</v>
      </c>
      <c r="AM171" s="35" t="str">
        <f t="shared" si="63"/>
        <v>0</v>
      </c>
      <c r="AN171" s="36">
        <f t="shared" si="64"/>
        <v>0</v>
      </c>
      <c r="AO171" s="36">
        <f t="shared" si="54"/>
        <v>0</v>
      </c>
      <c r="AP171" s="37">
        <f t="shared" si="65"/>
        <v>0</v>
      </c>
      <c r="AQ171" s="36">
        <f t="shared" si="66"/>
        <v>0</v>
      </c>
      <c r="AR171" s="36">
        <f t="shared" si="67"/>
        <v>0</v>
      </c>
      <c r="AS171" s="39">
        <f t="shared" si="68"/>
        <v>0</v>
      </c>
      <c r="AU171" s="38">
        <f t="shared" si="80"/>
        <v>62</v>
      </c>
      <c r="AV171" s="35" t="str">
        <f t="shared" si="69"/>
        <v>0</v>
      </c>
      <c r="AW171" s="36">
        <f t="shared" si="70"/>
        <v>0</v>
      </c>
      <c r="AX171" s="36">
        <f t="shared" si="55"/>
        <v>0</v>
      </c>
      <c r="AY171" s="37">
        <f t="shared" si="71"/>
        <v>0</v>
      </c>
      <c r="AZ171" s="36">
        <f t="shared" si="72"/>
        <v>0</v>
      </c>
      <c r="BA171" s="36">
        <f t="shared" si="73"/>
        <v>0</v>
      </c>
      <c r="BB171" s="39">
        <f t="shared" si="74"/>
        <v>0</v>
      </c>
    </row>
    <row r="172" spans="2:54" x14ac:dyDescent="0.2">
      <c r="B172" s="65">
        <v>63</v>
      </c>
      <c r="C172" s="35" t="str">
        <f t="shared" si="86"/>
        <v>0</v>
      </c>
      <c r="D172" s="36">
        <f t="shared" si="87"/>
        <v>0</v>
      </c>
      <c r="E172" s="36">
        <f t="shared" si="81"/>
        <v>0</v>
      </c>
      <c r="F172" s="36">
        <f t="shared" si="41"/>
        <v>0</v>
      </c>
      <c r="G172" s="36">
        <f t="shared" si="75"/>
        <v>0</v>
      </c>
      <c r="H172" s="36">
        <f t="shared" si="82"/>
        <v>0</v>
      </c>
      <c r="I172" s="39">
        <f t="shared" si="83"/>
        <v>0</v>
      </c>
      <c r="K172" s="38">
        <f t="shared" si="76"/>
        <v>63</v>
      </c>
      <c r="L172" s="35" t="str">
        <f t="shared" si="88"/>
        <v>0</v>
      </c>
      <c r="M172" s="36">
        <f t="shared" si="89"/>
        <v>0</v>
      </c>
      <c r="N172" s="36">
        <f t="shared" si="84"/>
        <v>0</v>
      </c>
      <c r="O172" s="36">
        <f t="shared" si="44"/>
        <v>0</v>
      </c>
      <c r="P172" s="36">
        <f t="shared" si="56"/>
        <v>0</v>
      </c>
      <c r="Q172" s="36">
        <f t="shared" si="90"/>
        <v>0</v>
      </c>
      <c r="R172" s="39">
        <f t="shared" si="91"/>
        <v>0</v>
      </c>
      <c r="T172" s="38">
        <f t="shared" si="77"/>
        <v>63</v>
      </c>
      <c r="U172" s="35" t="str">
        <f t="shared" si="92"/>
        <v>0</v>
      </c>
      <c r="V172" s="36">
        <f t="shared" si="93"/>
        <v>0</v>
      </c>
      <c r="W172" s="36">
        <f t="shared" si="85"/>
        <v>0</v>
      </c>
      <c r="X172" s="37">
        <f t="shared" si="49"/>
        <v>0</v>
      </c>
      <c r="Y172" s="36">
        <f t="shared" si="57"/>
        <v>0</v>
      </c>
      <c r="Z172" s="36">
        <f t="shared" si="94"/>
        <v>0</v>
      </c>
      <c r="AA172" s="39">
        <f t="shared" si="95"/>
        <v>0</v>
      </c>
      <c r="AB172" s="41"/>
      <c r="AC172" s="38">
        <f t="shared" si="78"/>
        <v>63</v>
      </c>
      <c r="AD172" s="35" t="str">
        <f t="shared" si="58"/>
        <v>0</v>
      </c>
      <c r="AE172" s="36">
        <f t="shared" si="59"/>
        <v>0</v>
      </c>
      <c r="AF172" s="36">
        <f t="shared" si="52"/>
        <v>0</v>
      </c>
      <c r="AG172" s="37">
        <f t="shared" si="96"/>
        <v>0</v>
      </c>
      <c r="AH172" s="36">
        <f t="shared" si="60"/>
        <v>0</v>
      </c>
      <c r="AI172" s="36">
        <f t="shared" si="61"/>
        <v>0</v>
      </c>
      <c r="AJ172" s="39">
        <f t="shared" si="62"/>
        <v>0</v>
      </c>
      <c r="AL172" s="38">
        <f t="shared" si="79"/>
        <v>63</v>
      </c>
      <c r="AM172" s="35" t="str">
        <f t="shared" si="63"/>
        <v>0</v>
      </c>
      <c r="AN172" s="36">
        <f t="shared" si="64"/>
        <v>0</v>
      </c>
      <c r="AO172" s="36">
        <f t="shared" si="54"/>
        <v>0</v>
      </c>
      <c r="AP172" s="37">
        <f t="shared" si="65"/>
        <v>0</v>
      </c>
      <c r="AQ172" s="36">
        <f t="shared" si="66"/>
        <v>0</v>
      </c>
      <c r="AR172" s="36">
        <f t="shared" si="67"/>
        <v>0</v>
      </c>
      <c r="AS172" s="39">
        <f t="shared" si="68"/>
        <v>0</v>
      </c>
      <c r="AU172" s="38">
        <f t="shared" si="80"/>
        <v>63</v>
      </c>
      <c r="AV172" s="35" t="str">
        <f t="shared" si="69"/>
        <v>0</v>
      </c>
      <c r="AW172" s="36">
        <f t="shared" si="70"/>
        <v>0</v>
      </c>
      <c r="AX172" s="36">
        <f t="shared" si="55"/>
        <v>0</v>
      </c>
      <c r="AY172" s="37">
        <f t="shared" si="71"/>
        <v>0</v>
      </c>
      <c r="AZ172" s="36">
        <f t="shared" si="72"/>
        <v>0</v>
      </c>
      <c r="BA172" s="36">
        <f t="shared" si="73"/>
        <v>0</v>
      </c>
      <c r="BB172" s="39">
        <f t="shared" si="74"/>
        <v>0</v>
      </c>
    </row>
    <row r="173" spans="2:54" x14ac:dyDescent="0.2">
      <c r="B173" s="65">
        <v>64</v>
      </c>
      <c r="C173" s="35" t="str">
        <f t="shared" si="86"/>
        <v>0</v>
      </c>
      <c r="D173" s="36">
        <f t="shared" si="87"/>
        <v>0</v>
      </c>
      <c r="E173" s="36">
        <f t="shared" si="81"/>
        <v>0</v>
      </c>
      <c r="F173" s="36">
        <f t="shared" si="41"/>
        <v>0</v>
      </c>
      <c r="G173" s="36">
        <f t="shared" si="75"/>
        <v>0</v>
      </c>
      <c r="H173" s="36">
        <f t="shared" si="82"/>
        <v>0</v>
      </c>
      <c r="I173" s="39">
        <f t="shared" si="83"/>
        <v>0</v>
      </c>
      <c r="K173" s="38">
        <f t="shared" si="76"/>
        <v>64</v>
      </c>
      <c r="L173" s="35" t="str">
        <f t="shared" si="88"/>
        <v>0</v>
      </c>
      <c r="M173" s="36">
        <f t="shared" si="89"/>
        <v>0</v>
      </c>
      <c r="N173" s="36">
        <f t="shared" si="84"/>
        <v>0</v>
      </c>
      <c r="O173" s="36">
        <f t="shared" si="44"/>
        <v>0</v>
      </c>
      <c r="P173" s="36">
        <f t="shared" si="56"/>
        <v>0</v>
      </c>
      <c r="Q173" s="36">
        <f t="shared" si="90"/>
        <v>0</v>
      </c>
      <c r="R173" s="39">
        <f t="shared" si="91"/>
        <v>0</v>
      </c>
      <c r="T173" s="38">
        <f t="shared" si="77"/>
        <v>64</v>
      </c>
      <c r="U173" s="35" t="str">
        <f t="shared" si="92"/>
        <v>0</v>
      </c>
      <c r="V173" s="36">
        <f t="shared" si="93"/>
        <v>0</v>
      </c>
      <c r="W173" s="36">
        <f t="shared" si="85"/>
        <v>0</v>
      </c>
      <c r="X173" s="37">
        <f t="shared" si="49"/>
        <v>0</v>
      </c>
      <c r="Y173" s="36">
        <f t="shared" si="57"/>
        <v>0</v>
      </c>
      <c r="Z173" s="36">
        <f t="shared" si="94"/>
        <v>0</v>
      </c>
      <c r="AA173" s="39">
        <f t="shared" si="95"/>
        <v>0</v>
      </c>
      <c r="AB173" s="41"/>
      <c r="AC173" s="38">
        <f t="shared" si="78"/>
        <v>64</v>
      </c>
      <c r="AD173" s="35" t="str">
        <f t="shared" si="58"/>
        <v>0</v>
      </c>
      <c r="AE173" s="36">
        <f t="shared" si="59"/>
        <v>0</v>
      </c>
      <c r="AF173" s="36">
        <f t="shared" si="52"/>
        <v>0</v>
      </c>
      <c r="AG173" s="37">
        <f t="shared" si="96"/>
        <v>0</v>
      </c>
      <c r="AH173" s="36">
        <f t="shared" si="60"/>
        <v>0</v>
      </c>
      <c r="AI173" s="36">
        <f t="shared" si="61"/>
        <v>0</v>
      </c>
      <c r="AJ173" s="39">
        <f t="shared" si="62"/>
        <v>0</v>
      </c>
      <c r="AL173" s="38">
        <f t="shared" si="79"/>
        <v>64</v>
      </c>
      <c r="AM173" s="35" t="str">
        <f t="shared" si="63"/>
        <v>0</v>
      </c>
      <c r="AN173" s="36">
        <f t="shared" si="64"/>
        <v>0</v>
      </c>
      <c r="AO173" s="36">
        <f t="shared" si="54"/>
        <v>0</v>
      </c>
      <c r="AP173" s="37">
        <f t="shared" si="65"/>
        <v>0</v>
      </c>
      <c r="AQ173" s="36">
        <f t="shared" si="66"/>
        <v>0</v>
      </c>
      <c r="AR173" s="36">
        <f t="shared" si="67"/>
        <v>0</v>
      </c>
      <c r="AS173" s="39">
        <f t="shared" si="68"/>
        <v>0</v>
      </c>
      <c r="AU173" s="38">
        <f t="shared" si="80"/>
        <v>64</v>
      </c>
      <c r="AV173" s="35" t="str">
        <f t="shared" si="69"/>
        <v>0</v>
      </c>
      <c r="AW173" s="36">
        <f t="shared" si="70"/>
        <v>0</v>
      </c>
      <c r="AX173" s="36">
        <f t="shared" si="55"/>
        <v>0</v>
      </c>
      <c r="AY173" s="37">
        <f t="shared" si="71"/>
        <v>0</v>
      </c>
      <c r="AZ173" s="36">
        <f t="shared" si="72"/>
        <v>0</v>
      </c>
      <c r="BA173" s="36">
        <f t="shared" si="73"/>
        <v>0</v>
      </c>
      <c r="BB173" s="39">
        <f t="shared" si="74"/>
        <v>0</v>
      </c>
    </row>
    <row r="174" spans="2:54" x14ac:dyDescent="0.2">
      <c r="B174" s="65">
        <v>65</v>
      </c>
      <c r="C174" s="35" t="str">
        <f t="shared" si="86"/>
        <v>0</v>
      </c>
      <c r="D174" s="36">
        <f t="shared" si="87"/>
        <v>0</v>
      </c>
      <c r="E174" s="36">
        <f t="shared" ref="E174:E205" si="97">(D174*$D$92*1)/1200</f>
        <v>0</v>
      </c>
      <c r="F174" s="36">
        <f t="shared" si="41"/>
        <v>0</v>
      </c>
      <c r="G174" s="36">
        <f t="shared" si="75"/>
        <v>0</v>
      </c>
      <c r="H174" s="36">
        <f t="shared" ref="H174:H205" si="98">IF(B174&lt;=$D$97,E174+H173,0)</f>
        <v>0</v>
      </c>
      <c r="I174" s="39">
        <f t="shared" ref="I174:I205" si="99">IF(B174&lt;=$D$97,F174+I173,0)</f>
        <v>0</v>
      </c>
      <c r="K174" s="38">
        <f t="shared" si="76"/>
        <v>65</v>
      </c>
      <c r="L174" s="35" t="str">
        <f t="shared" si="88"/>
        <v>0</v>
      </c>
      <c r="M174" s="36">
        <f t="shared" si="89"/>
        <v>0</v>
      </c>
      <c r="N174" s="36">
        <f t="shared" ref="N174:N205" si="100">(M174*$M$92*1)/1200</f>
        <v>0</v>
      </c>
      <c r="O174" s="36">
        <f t="shared" si="44"/>
        <v>0</v>
      </c>
      <c r="P174" s="36">
        <f t="shared" si="56"/>
        <v>0</v>
      </c>
      <c r="Q174" s="36">
        <f t="shared" si="90"/>
        <v>0</v>
      </c>
      <c r="R174" s="39">
        <f t="shared" si="91"/>
        <v>0</v>
      </c>
      <c r="T174" s="38">
        <f t="shared" si="77"/>
        <v>65</v>
      </c>
      <c r="U174" s="35" t="str">
        <f t="shared" si="92"/>
        <v>0</v>
      </c>
      <c r="V174" s="36">
        <f t="shared" si="93"/>
        <v>0</v>
      </c>
      <c r="W174" s="36">
        <f t="shared" ref="W174:W205" si="101">(V174*$V$92*1)/1200</f>
        <v>0</v>
      </c>
      <c r="X174" s="37">
        <f t="shared" si="49"/>
        <v>0</v>
      </c>
      <c r="Y174" s="36">
        <f t="shared" si="57"/>
        <v>0</v>
      </c>
      <c r="Z174" s="36">
        <f t="shared" si="94"/>
        <v>0</v>
      </c>
      <c r="AA174" s="39">
        <f t="shared" si="95"/>
        <v>0</v>
      </c>
      <c r="AB174" s="41"/>
      <c r="AC174" s="38">
        <f t="shared" si="78"/>
        <v>65</v>
      </c>
      <c r="AD174" s="35" t="str">
        <f t="shared" si="58"/>
        <v>0</v>
      </c>
      <c r="AE174" s="36">
        <f t="shared" si="59"/>
        <v>0</v>
      </c>
      <c r="AF174" s="36">
        <f t="shared" si="52"/>
        <v>0</v>
      </c>
      <c r="AG174" s="37">
        <f t="shared" si="96"/>
        <v>0</v>
      </c>
      <c r="AH174" s="36">
        <f t="shared" si="60"/>
        <v>0</v>
      </c>
      <c r="AI174" s="36">
        <f t="shared" si="61"/>
        <v>0</v>
      </c>
      <c r="AJ174" s="39">
        <f t="shared" si="62"/>
        <v>0</v>
      </c>
      <c r="AL174" s="38">
        <f t="shared" si="79"/>
        <v>65</v>
      </c>
      <c r="AM174" s="35" t="str">
        <f t="shared" si="63"/>
        <v>0</v>
      </c>
      <c r="AN174" s="36">
        <f t="shared" si="64"/>
        <v>0</v>
      </c>
      <c r="AO174" s="36">
        <f t="shared" si="54"/>
        <v>0</v>
      </c>
      <c r="AP174" s="37">
        <f t="shared" si="65"/>
        <v>0</v>
      </c>
      <c r="AQ174" s="36">
        <f t="shared" si="66"/>
        <v>0</v>
      </c>
      <c r="AR174" s="36">
        <f t="shared" si="67"/>
        <v>0</v>
      </c>
      <c r="AS174" s="39">
        <f t="shared" si="68"/>
        <v>0</v>
      </c>
      <c r="AU174" s="38">
        <f t="shared" si="80"/>
        <v>65</v>
      </c>
      <c r="AV174" s="35" t="str">
        <f t="shared" si="69"/>
        <v>0</v>
      </c>
      <c r="AW174" s="36">
        <f t="shared" si="70"/>
        <v>0</v>
      </c>
      <c r="AX174" s="36">
        <f t="shared" si="55"/>
        <v>0</v>
      </c>
      <c r="AY174" s="37">
        <f t="shared" si="71"/>
        <v>0</v>
      </c>
      <c r="AZ174" s="36">
        <f t="shared" si="72"/>
        <v>0</v>
      </c>
      <c r="BA174" s="36">
        <f t="shared" si="73"/>
        <v>0</v>
      </c>
      <c r="BB174" s="39">
        <f t="shared" si="74"/>
        <v>0</v>
      </c>
    </row>
    <row r="175" spans="2:54" x14ac:dyDescent="0.2">
      <c r="B175" s="65">
        <v>66</v>
      </c>
      <c r="C175" s="35" t="str">
        <f t="shared" ref="C175:C206" si="102">IF(B175&lt;=$D$97,DATE(YEAR(C174),MONTH(C174)+12/$D$94,DAY(C174)),"0")</f>
        <v>0</v>
      </c>
      <c r="D175" s="36">
        <f t="shared" ref="D175:D206" si="103">IF(B175=1,$D$90,G174)</f>
        <v>0</v>
      </c>
      <c r="E175" s="36">
        <f t="shared" si="97"/>
        <v>0</v>
      </c>
      <c r="F175" s="36">
        <f t="shared" ref="F175:F229" si="104">IF(AND(B175&lt;=$D$97,B175&gt;$D$95),$D$101-E175,0)</f>
        <v>0</v>
      </c>
      <c r="G175" s="36">
        <f t="shared" si="75"/>
        <v>0</v>
      </c>
      <c r="H175" s="36">
        <f t="shared" si="98"/>
        <v>0</v>
      </c>
      <c r="I175" s="39">
        <f t="shared" si="99"/>
        <v>0</v>
      </c>
      <c r="K175" s="38">
        <f t="shared" si="76"/>
        <v>66</v>
      </c>
      <c r="L175" s="35" t="str">
        <f t="shared" ref="L175:L206" si="105">IF(K175&lt;=$M$97,DATE(YEAR(L174),MONTH(L174)+12/$M$94,DAY(L174)),"0")</f>
        <v>0</v>
      </c>
      <c r="M175" s="36">
        <f t="shared" ref="M175:M206" si="106">IF(K175&lt;=$M$97,P174,0)</f>
        <v>0</v>
      </c>
      <c r="N175" s="36">
        <f t="shared" si="100"/>
        <v>0</v>
      </c>
      <c r="O175" s="36">
        <f t="shared" ref="O175:O229" si="107">IF(AND(K175&lt;=$M$97,K175&gt;$M$95),$M$101-N175,0)</f>
        <v>0</v>
      </c>
      <c r="P175" s="36">
        <f t="shared" si="56"/>
        <v>0</v>
      </c>
      <c r="Q175" s="36">
        <f t="shared" ref="Q175:Q206" si="108">IF(K175&lt;=$M$97,Q174+N175,0)</f>
        <v>0</v>
      </c>
      <c r="R175" s="39">
        <f t="shared" ref="R175:R206" si="109">IF(K175&lt;=$D$97,R174+O175,0)</f>
        <v>0</v>
      </c>
      <c r="T175" s="38">
        <f t="shared" si="77"/>
        <v>66</v>
      </c>
      <c r="U175" s="35" t="str">
        <f t="shared" ref="U175:U206" si="110">IF(T175&lt;=$V$97,DATE(YEAR(U174),MONTH(U174)+12/$V$94,DAY(U174)),"0")</f>
        <v>0</v>
      </c>
      <c r="V175" s="36">
        <f t="shared" ref="V175:V206" si="111">IF(T175&lt;=$V$97,Y174,0)</f>
        <v>0</v>
      </c>
      <c r="W175" s="36">
        <f t="shared" si="101"/>
        <v>0</v>
      </c>
      <c r="X175" s="37">
        <f t="shared" ref="X175:X229" si="112">IF(AND(T175&lt;=$V$97,T175&gt;$V$95),$V$101-W175,0)</f>
        <v>0</v>
      </c>
      <c r="Y175" s="36">
        <f t="shared" si="57"/>
        <v>0</v>
      </c>
      <c r="Z175" s="36">
        <f t="shared" ref="Z175:Z206" si="113">IF(T175&lt;=$V$97,Z174+W175,0)</f>
        <v>0</v>
      </c>
      <c r="AA175" s="39">
        <f t="shared" ref="AA175:AA206" si="114">IF(T175&lt;=$V$97,AA174+X175,0)</f>
        <v>0</v>
      </c>
      <c r="AB175" s="41"/>
      <c r="AC175" s="38">
        <f t="shared" si="78"/>
        <v>66</v>
      </c>
      <c r="AD175" s="35" t="str">
        <f t="shared" si="58"/>
        <v>0</v>
      </c>
      <c r="AE175" s="36">
        <f t="shared" si="59"/>
        <v>0</v>
      </c>
      <c r="AF175" s="36">
        <f t="shared" ref="AF175:AF229" si="115">(AE175*$AE$93*1)/1200</f>
        <v>0</v>
      </c>
      <c r="AG175" s="37">
        <f t="shared" si="96"/>
        <v>0</v>
      </c>
      <c r="AH175" s="36">
        <f t="shared" si="60"/>
        <v>0</v>
      </c>
      <c r="AI175" s="36">
        <f t="shared" si="61"/>
        <v>0</v>
      </c>
      <c r="AJ175" s="39">
        <f t="shared" si="62"/>
        <v>0</v>
      </c>
      <c r="AL175" s="38">
        <f t="shared" si="79"/>
        <v>66</v>
      </c>
      <c r="AM175" s="35" t="str">
        <f t="shared" si="63"/>
        <v>0</v>
      </c>
      <c r="AN175" s="36">
        <f t="shared" si="64"/>
        <v>0</v>
      </c>
      <c r="AO175" s="36">
        <f t="shared" ref="AO175:AO229" si="116">(AN175*$AN$93*1)/1200</f>
        <v>0</v>
      </c>
      <c r="AP175" s="37">
        <f t="shared" si="65"/>
        <v>0</v>
      </c>
      <c r="AQ175" s="36">
        <f t="shared" si="66"/>
        <v>0</v>
      </c>
      <c r="AR175" s="36">
        <f t="shared" si="67"/>
        <v>0</v>
      </c>
      <c r="AS175" s="39">
        <f t="shared" si="68"/>
        <v>0</v>
      </c>
      <c r="AU175" s="38">
        <f t="shared" si="80"/>
        <v>66</v>
      </c>
      <c r="AV175" s="35" t="str">
        <f t="shared" si="69"/>
        <v>0</v>
      </c>
      <c r="AW175" s="36">
        <f t="shared" si="70"/>
        <v>0</v>
      </c>
      <c r="AX175" s="36">
        <f t="shared" ref="AX175:AX229" si="117">(AW175*$AW$93*1)/1200</f>
        <v>0</v>
      </c>
      <c r="AY175" s="37">
        <f t="shared" si="71"/>
        <v>0</v>
      </c>
      <c r="AZ175" s="36">
        <f t="shared" si="72"/>
        <v>0</v>
      </c>
      <c r="BA175" s="36">
        <f t="shared" si="73"/>
        <v>0</v>
      </c>
      <c r="BB175" s="39">
        <f t="shared" si="74"/>
        <v>0</v>
      </c>
    </row>
    <row r="176" spans="2:54" x14ac:dyDescent="0.2">
      <c r="B176" s="65">
        <v>67</v>
      </c>
      <c r="C176" s="35" t="str">
        <f t="shared" si="102"/>
        <v>0</v>
      </c>
      <c r="D176" s="36">
        <f t="shared" si="103"/>
        <v>0</v>
      </c>
      <c r="E176" s="36">
        <f t="shared" si="97"/>
        <v>0</v>
      </c>
      <c r="F176" s="36">
        <f t="shared" si="104"/>
        <v>0</v>
      </c>
      <c r="G176" s="36">
        <f t="shared" si="75"/>
        <v>0</v>
      </c>
      <c r="H176" s="36">
        <f t="shared" si="98"/>
        <v>0</v>
      </c>
      <c r="I176" s="39">
        <f t="shared" si="99"/>
        <v>0</v>
      </c>
      <c r="K176" s="38">
        <f t="shared" si="76"/>
        <v>67</v>
      </c>
      <c r="L176" s="35" t="str">
        <f t="shared" si="105"/>
        <v>0</v>
      </c>
      <c r="M176" s="36">
        <f t="shared" si="106"/>
        <v>0</v>
      </c>
      <c r="N176" s="36">
        <f t="shared" si="100"/>
        <v>0</v>
      </c>
      <c r="O176" s="36">
        <f t="shared" si="107"/>
        <v>0</v>
      </c>
      <c r="P176" s="36">
        <f t="shared" ref="P176:P229" si="118">M176-O176</f>
        <v>0</v>
      </c>
      <c r="Q176" s="36">
        <f t="shared" si="108"/>
        <v>0</v>
      </c>
      <c r="R176" s="39">
        <f t="shared" si="109"/>
        <v>0</v>
      </c>
      <c r="T176" s="38">
        <f t="shared" si="77"/>
        <v>67</v>
      </c>
      <c r="U176" s="35" t="str">
        <f t="shared" si="110"/>
        <v>0</v>
      </c>
      <c r="V176" s="36">
        <f t="shared" si="111"/>
        <v>0</v>
      </c>
      <c r="W176" s="36">
        <f t="shared" si="101"/>
        <v>0</v>
      </c>
      <c r="X176" s="37">
        <f t="shared" si="112"/>
        <v>0</v>
      </c>
      <c r="Y176" s="36">
        <f t="shared" ref="Y176:Y229" si="119">V176-X176</f>
        <v>0</v>
      </c>
      <c r="Z176" s="36">
        <f t="shared" si="113"/>
        <v>0</v>
      </c>
      <c r="AA176" s="39">
        <f t="shared" si="114"/>
        <v>0</v>
      </c>
      <c r="AB176" s="41"/>
      <c r="AC176" s="38">
        <f t="shared" si="78"/>
        <v>67</v>
      </c>
      <c r="AD176" s="35" t="str">
        <f t="shared" ref="AD176:AD229" si="120">IF(AC176&lt;=$AE$97,DATE(YEAR(AD175),MONTH(AD175)+12/$AE$95,DAY(AD175)),"0")</f>
        <v>0</v>
      </c>
      <c r="AE176" s="36">
        <f t="shared" ref="AE176:AE229" si="121">IF(AC176&lt;=$AE$97,AH175,0)</f>
        <v>0</v>
      </c>
      <c r="AF176" s="36">
        <f t="shared" si="115"/>
        <v>0</v>
      </c>
      <c r="AG176" s="37">
        <f t="shared" si="96"/>
        <v>0</v>
      </c>
      <c r="AH176" s="36">
        <f t="shared" ref="AH176:AH229" si="122">AE176-AG176</f>
        <v>0</v>
      </c>
      <c r="AI176" s="36">
        <f t="shared" ref="AI176:AI229" si="123">IF(AC176&lt;=$AE$97,AI175+AF176,0)</f>
        <v>0</v>
      </c>
      <c r="AJ176" s="39">
        <f t="shared" ref="AJ176:AJ229" si="124">IF(AC176&lt;=$AE$97,AJ175+AG176,0)</f>
        <v>0</v>
      </c>
      <c r="AL176" s="38">
        <f t="shared" si="79"/>
        <v>67</v>
      </c>
      <c r="AM176" s="35" t="str">
        <f t="shared" ref="AM176:AM229" si="125">IF(AL176&lt;=$AN$97,DATE(YEAR(AM175),MONTH(AM175)+12/$AN$95,DAY(AM175)),"0")</f>
        <v>0</v>
      </c>
      <c r="AN176" s="36">
        <f t="shared" ref="AN176:AN229" si="126">IF(AL176&lt;=$AN$97,AQ175,0)</f>
        <v>0</v>
      </c>
      <c r="AO176" s="36">
        <f t="shared" si="116"/>
        <v>0</v>
      </c>
      <c r="AP176" s="37">
        <f t="shared" ref="AP176:AP229" si="127">IF(AL176&lt;$AN$97,$AN$101-AO176,0)+IF(AL176=$AN$97,$AN$90+$AN$101-AO176,0)</f>
        <v>0</v>
      </c>
      <c r="AQ176" s="36">
        <f t="shared" ref="AQ176:AQ229" si="128">AN176-AP176</f>
        <v>0</v>
      </c>
      <c r="AR176" s="36">
        <f t="shared" ref="AR176:AR229" si="129">IF(AL176&lt;=$AN$97,AR175+AO176,0)</f>
        <v>0</v>
      </c>
      <c r="AS176" s="39">
        <f t="shared" ref="AS176:AS229" si="130">IF(AL176&lt;=$AN$97,AS175+AP176,0)</f>
        <v>0</v>
      </c>
      <c r="AU176" s="38">
        <f t="shared" si="80"/>
        <v>67</v>
      </c>
      <c r="AV176" s="35" t="str">
        <f t="shared" ref="AV176:AV229" si="131">IF(AU176&lt;=$AW$97,DATE(YEAR(AV175),MONTH(AV175)+12/$AW$95,DAY(AV175)),"0")</f>
        <v>0</v>
      </c>
      <c r="AW176" s="36">
        <f t="shared" ref="AW176:AW229" si="132">IF(AU176&lt;=$AW$97,AZ175,0)</f>
        <v>0</v>
      </c>
      <c r="AX176" s="36">
        <f t="shared" si="117"/>
        <v>0</v>
      </c>
      <c r="AY176" s="37">
        <f t="shared" ref="AY176:AY229" si="133">IF(AU176&lt;$AW$97,$AW$101-AX176,0)+IF(AU176=$AW$97,$AW$90+$AW$101-AX176,0)</f>
        <v>0</v>
      </c>
      <c r="AZ176" s="36">
        <f t="shared" ref="AZ176:AZ229" si="134">AW176-AY176</f>
        <v>0</v>
      </c>
      <c r="BA176" s="36">
        <f t="shared" ref="BA176:BA229" si="135">IF(AU176&lt;=$AW$97,BA175+AX176,0)</f>
        <v>0</v>
      </c>
      <c r="BB176" s="39">
        <f t="shared" ref="BB176:BB229" si="136">IF(AU176&lt;=$AW$97,BB175+AY176,0)</f>
        <v>0</v>
      </c>
    </row>
    <row r="177" spans="2:54" x14ac:dyDescent="0.2">
      <c r="B177" s="65">
        <v>68</v>
      </c>
      <c r="C177" s="35" t="str">
        <f t="shared" si="102"/>
        <v>0</v>
      </c>
      <c r="D177" s="36">
        <f t="shared" si="103"/>
        <v>0</v>
      </c>
      <c r="E177" s="36">
        <f t="shared" si="97"/>
        <v>0</v>
      </c>
      <c r="F177" s="36">
        <f t="shared" si="104"/>
        <v>0</v>
      </c>
      <c r="G177" s="36">
        <f t="shared" si="75"/>
        <v>0</v>
      </c>
      <c r="H177" s="36">
        <f t="shared" si="98"/>
        <v>0</v>
      </c>
      <c r="I177" s="39">
        <f t="shared" si="99"/>
        <v>0</v>
      </c>
      <c r="K177" s="38">
        <f t="shared" si="76"/>
        <v>68</v>
      </c>
      <c r="L177" s="35" t="str">
        <f t="shared" si="105"/>
        <v>0</v>
      </c>
      <c r="M177" s="36">
        <f t="shared" si="106"/>
        <v>0</v>
      </c>
      <c r="N177" s="36">
        <f t="shared" si="100"/>
        <v>0</v>
      </c>
      <c r="O177" s="36">
        <f t="shared" si="107"/>
        <v>0</v>
      </c>
      <c r="P177" s="36">
        <f t="shared" si="118"/>
        <v>0</v>
      </c>
      <c r="Q177" s="36">
        <f t="shared" si="108"/>
        <v>0</v>
      </c>
      <c r="R177" s="39">
        <f t="shared" si="109"/>
        <v>0</v>
      </c>
      <c r="T177" s="38">
        <f t="shared" si="77"/>
        <v>68</v>
      </c>
      <c r="U177" s="35" t="str">
        <f t="shared" si="110"/>
        <v>0</v>
      </c>
      <c r="V177" s="36">
        <f t="shared" si="111"/>
        <v>0</v>
      </c>
      <c r="W177" s="36">
        <f t="shared" si="101"/>
        <v>0</v>
      </c>
      <c r="X177" s="37">
        <f t="shared" si="112"/>
        <v>0</v>
      </c>
      <c r="Y177" s="36">
        <f t="shared" si="119"/>
        <v>0</v>
      </c>
      <c r="Z177" s="36">
        <f t="shared" si="113"/>
        <v>0</v>
      </c>
      <c r="AA177" s="39">
        <f t="shared" si="114"/>
        <v>0</v>
      </c>
      <c r="AB177" s="41"/>
      <c r="AC177" s="38">
        <f t="shared" si="78"/>
        <v>68</v>
      </c>
      <c r="AD177" s="35" t="str">
        <f t="shared" si="120"/>
        <v>0</v>
      </c>
      <c r="AE177" s="36">
        <f t="shared" si="121"/>
        <v>0</v>
      </c>
      <c r="AF177" s="36">
        <f t="shared" si="115"/>
        <v>0</v>
      </c>
      <c r="AG177" s="37">
        <f t="shared" si="96"/>
        <v>0</v>
      </c>
      <c r="AH177" s="36">
        <f t="shared" si="122"/>
        <v>0</v>
      </c>
      <c r="AI177" s="36">
        <f t="shared" si="123"/>
        <v>0</v>
      </c>
      <c r="AJ177" s="39">
        <f t="shared" si="124"/>
        <v>0</v>
      </c>
      <c r="AL177" s="38">
        <f t="shared" si="79"/>
        <v>68</v>
      </c>
      <c r="AM177" s="35" t="str">
        <f t="shared" si="125"/>
        <v>0</v>
      </c>
      <c r="AN177" s="36">
        <f t="shared" si="126"/>
        <v>0</v>
      </c>
      <c r="AO177" s="36">
        <f t="shared" si="116"/>
        <v>0</v>
      </c>
      <c r="AP177" s="37">
        <f t="shared" si="127"/>
        <v>0</v>
      </c>
      <c r="AQ177" s="36">
        <f t="shared" si="128"/>
        <v>0</v>
      </c>
      <c r="AR177" s="36">
        <f t="shared" si="129"/>
        <v>0</v>
      </c>
      <c r="AS177" s="39">
        <f t="shared" si="130"/>
        <v>0</v>
      </c>
      <c r="AU177" s="38">
        <f t="shared" si="80"/>
        <v>68</v>
      </c>
      <c r="AV177" s="35" t="str">
        <f t="shared" si="131"/>
        <v>0</v>
      </c>
      <c r="AW177" s="36">
        <f t="shared" si="132"/>
        <v>0</v>
      </c>
      <c r="AX177" s="36">
        <f t="shared" si="117"/>
        <v>0</v>
      </c>
      <c r="AY177" s="37">
        <f t="shared" si="133"/>
        <v>0</v>
      </c>
      <c r="AZ177" s="36">
        <f t="shared" si="134"/>
        <v>0</v>
      </c>
      <c r="BA177" s="36">
        <f t="shared" si="135"/>
        <v>0</v>
      </c>
      <c r="BB177" s="39">
        <f t="shared" si="136"/>
        <v>0</v>
      </c>
    </row>
    <row r="178" spans="2:54" x14ac:dyDescent="0.2">
      <c r="B178" s="65">
        <v>69</v>
      </c>
      <c r="C178" s="35" t="str">
        <f t="shared" si="102"/>
        <v>0</v>
      </c>
      <c r="D178" s="36">
        <f t="shared" si="103"/>
        <v>0</v>
      </c>
      <c r="E178" s="36">
        <f t="shared" si="97"/>
        <v>0</v>
      </c>
      <c r="F178" s="36">
        <f t="shared" si="104"/>
        <v>0</v>
      </c>
      <c r="G178" s="36">
        <f t="shared" ref="G178:G229" si="137">D178-F178</f>
        <v>0</v>
      </c>
      <c r="H178" s="36">
        <f t="shared" si="98"/>
        <v>0</v>
      </c>
      <c r="I178" s="39">
        <f t="shared" si="99"/>
        <v>0</v>
      </c>
      <c r="K178" s="38">
        <f t="shared" ref="K178:K229" si="138">K177+1</f>
        <v>69</v>
      </c>
      <c r="L178" s="35" t="str">
        <f t="shared" si="105"/>
        <v>0</v>
      </c>
      <c r="M178" s="36">
        <f t="shared" si="106"/>
        <v>0</v>
      </c>
      <c r="N178" s="36">
        <f t="shared" si="100"/>
        <v>0</v>
      </c>
      <c r="O178" s="36">
        <f t="shared" si="107"/>
        <v>0</v>
      </c>
      <c r="P178" s="36">
        <f t="shared" si="118"/>
        <v>0</v>
      </c>
      <c r="Q178" s="36">
        <f t="shared" si="108"/>
        <v>0</v>
      </c>
      <c r="R178" s="39">
        <f t="shared" si="109"/>
        <v>0</v>
      </c>
      <c r="T178" s="38">
        <f t="shared" ref="T178:T229" si="139">T177+1</f>
        <v>69</v>
      </c>
      <c r="U178" s="35" t="str">
        <f t="shared" si="110"/>
        <v>0</v>
      </c>
      <c r="V178" s="36">
        <f t="shared" si="111"/>
        <v>0</v>
      </c>
      <c r="W178" s="36">
        <f t="shared" si="101"/>
        <v>0</v>
      </c>
      <c r="X178" s="37">
        <f t="shared" si="112"/>
        <v>0</v>
      </c>
      <c r="Y178" s="36">
        <f t="shared" si="119"/>
        <v>0</v>
      </c>
      <c r="Z178" s="36">
        <f t="shared" si="113"/>
        <v>0</v>
      </c>
      <c r="AA178" s="39">
        <f t="shared" si="114"/>
        <v>0</v>
      </c>
      <c r="AB178" s="41"/>
      <c r="AC178" s="38">
        <f t="shared" ref="AC178:AC229" si="140">AC177+1</f>
        <v>69</v>
      </c>
      <c r="AD178" s="35" t="str">
        <f t="shared" si="120"/>
        <v>0</v>
      </c>
      <c r="AE178" s="36">
        <f t="shared" si="121"/>
        <v>0</v>
      </c>
      <c r="AF178" s="36">
        <f t="shared" si="115"/>
        <v>0</v>
      </c>
      <c r="AG178" s="37">
        <f t="shared" si="96"/>
        <v>0</v>
      </c>
      <c r="AH178" s="36">
        <f t="shared" si="122"/>
        <v>0</v>
      </c>
      <c r="AI178" s="36">
        <f t="shared" si="123"/>
        <v>0</v>
      </c>
      <c r="AJ178" s="39">
        <f t="shared" si="124"/>
        <v>0</v>
      </c>
      <c r="AL178" s="38">
        <f t="shared" ref="AL178:AL229" si="141">AL177+1</f>
        <v>69</v>
      </c>
      <c r="AM178" s="35" t="str">
        <f t="shared" si="125"/>
        <v>0</v>
      </c>
      <c r="AN178" s="36">
        <f t="shared" si="126"/>
        <v>0</v>
      </c>
      <c r="AO178" s="36">
        <f t="shared" si="116"/>
        <v>0</v>
      </c>
      <c r="AP178" s="37">
        <f t="shared" si="127"/>
        <v>0</v>
      </c>
      <c r="AQ178" s="36">
        <f t="shared" si="128"/>
        <v>0</v>
      </c>
      <c r="AR178" s="36">
        <f t="shared" si="129"/>
        <v>0</v>
      </c>
      <c r="AS178" s="39">
        <f t="shared" si="130"/>
        <v>0</v>
      </c>
      <c r="AU178" s="38">
        <f t="shared" ref="AU178:AU229" si="142">AU177+1</f>
        <v>69</v>
      </c>
      <c r="AV178" s="35" t="str">
        <f t="shared" si="131"/>
        <v>0</v>
      </c>
      <c r="AW178" s="36">
        <f t="shared" si="132"/>
        <v>0</v>
      </c>
      <c r="AX178" s="36">
        <f t="shared" si="117"/>
        <v>0</v>
      </c>
      <c r="AY178" s="37">
        <f t="shared" si="133"/>
        <v>0</v>
      </c>
      <c r="AZ178" s="36">
        <f t="shared" si="134"/>
        <v>0</v>
      </c>
      <c r="BA178" s="36">
        <f t="shared" si="135"/>
        <v>0</v>
      </c>
      <c r="BB178" s="39">
        <f t="shared" si="136"/>
        <v>0</v>
      </c>
    </row>
    <row r="179" spans="2:54" x14ac:dyDescent="0.2">
      <c r="B179" s="65">
        <v>70</v>
      </c>
      <c r="C179" s="35" t="str">
        <f t="shared" si="102"/>
        <v>0</v>
      </c>
      <c r="D179" s="36">
        <f t="shared" si="103"/>
        <v>0</v>
      </c>
      <c r="E179" s="36">
        <f t="shared" si="97"/>
        <v>0</v>
      </c>
      <c r="F179" s="36">
        <f t="shared" si="104"/>
        <v>0</v>
      </c>
      <c r="G179" s="36">
        <f t="shared" si="137"/>
        <v>0</v>
      </c>
      <c r="H179" s="36">
        <f t="shared" si="98"/>
        <v>0</v>
      </c>
      <c r="I179" s="39">
        <f t="shared" si="99"/>
        <v>0</v>
      </c>
      <c r="K179" s="38">
        <f t="shared" si="138"/>
        <v>70</v>
      </c>
      <c r="L179" s="35" t="str">
        <f t="shared" si="105"/>
        <v>0</v>
      </c>
      <c r="M179" s="36">
        <f t="shared" si="106"/>
        <v>0</v>
      </c>
      <c r="N179" s="36">
        <f t="shared" si="100"/>
        <v>0</v>
      </c>
      <c r="O179" s="36">
        <f t="shared" si="107"/>
        <v>0</v>
      </c>
      <c r="P179" s="36">
        <f t="shared" si="118"/>
        <v>0</v>
      </c>
      <c r="Q179" s="36">
        <f t="shared" si="108"/>
        <v>0</v>
      </c>
      <c r="R179" s="39">
        <f t="shared" si="109"/>
        <v>0</v>
      </c>
      <c r="T179" s="38">
        <f t="shared" si="139"/>
        <v>70</v>
      </c>
      <c r="U179" s="35" t="str">
        <f t="shared" si="110"/>
        <v>0</v>
      </c>
      <c r="V179" s="36">
        <f t="shared" si="111"/>
        <v>0</v>
      </c>
      <c r="W179" s="36">
        <f t="shared" si="101"/>
        <v>0</v>
      </c>
      <c r="X179" s="37">
        <f t="shared" si="112"/>
        <v>0</v>
      </c>
      <c r="Y179" s="36">
        <f t="shared" si="119"/>
        <v>0</v>
      </c>
      <c r="Z179" s="36">
        <f t="shared" si="113"/>
        <v>0</v>
      </c>
      <c r="AA179" s="39">
        <f t="shared" si="114"/>
        <v>0</v>
      </c>
      <c r="AB179" s="41"/>
      <c r="AC179" s="38">
        <f t="shared" si="140"/>
        <v>70</v>
      </c>
      <c r="AD179" s="35" t="str">
        <f t="shared" si="120"/>
        <v>0</v>
      </c>
      <c r="AE179" s="36">
        <f t="shared" si="121"/>
        <v>0</v>
      </c>
      <c r="AF179" s="36">
        <f t="shared" si="115"/>
        <v>0</v>
      </c>
      <c r="AG179" s="37">
        <f t="shared" si="96"/>
        <v>0</v>
      </c>
      <c r="AH179" s="36">
        <f t="shared" si="122"/>
        <v>0</v>
      </c>
      <c r="AI179" s="36">
        <f t="shared" si="123"/>
        <v>0</v>
      </c>
      <c r="AJ179" s="39">
        <f t="shared" si="124"/>
        <v>0</v>
      </c>
      <c r="AL179" s="38">
        <f t="shared" si="141"/>
        <v>70</v>
      </c>
      <c r="AM179" s="35" t="str">
        <f t="shared" si="125"/>
        <v>0</v>
      </c>
      <c r="AN179" s="36">
        <f t="shared" si="126"/>
        <v>0</v>
      </c>
      <c r="AO179" s="36">
        <f t="shared" si="116"/>
        <v>0</v>
      </c>
      <c r="AP179" s="37">
        <f t="shared" si="127"/>
        <v>0</v>
      </c>
      <c r="AQ179" s="36">
        <f t="shared" si="128"/>
        <v>0</v>
      </c>
      <c r="AR179" s="36">
        <f t="shared" si="129"/>
        <v>0</v>
      </c>
      <c r="AS179" s="39">
        <f t="shared" si="130"/>
        <v>0</v>
      </c>
      <c r="AU179" s="38">
        <f t="shared" si="142"/>
        <v>70</v>
      </c>
      <c r="AV179" s="35" t="str">
        <f t="shared" si="131"/>
        <v>0</v>
      </c>
      <c r="AW179" s="36">
        <f t="shared" si="132"/>
        <v>0</v>
      </c>
      <c r="AX179" s="36">
        <f t="shared" si="117"/>
        <v>0</v>
      </c>
      <c r="AY179" s="37">
        <f t="shared" si="133"/>
        <v>0</v>
      </c>
      <c r="AZ179" s="36">
        <f t="shared" si="134"/>
        <v>0</v>
      </c>
      <c r="BA179" s="36">
        <f t="shared" si="135"/>
        <v>0</v>
      </c>
      <c r="BB179" s="39">
        <f t="shared" si="136"/>
        <v>0</v>
      </c>
    </row>
    <row r="180" spans="2:54" x14ac:dyDescent="0.2">
      <c r="B180" s="65">
        <v>71</v>
      </c>
      <c r="C180" s="35" t="str">
        <f t="shared" si="102"/>
        <v>0</v>
      </c>
      <c r="D180" s="36">
        <f t="shared" si="103"/>
        <v>0</v>
      </c>
      <c r="E180" s="36">
        <f t="shared" si="97"/>
        <v>0</v>
      </c>
      <c r="F180" s="36">
        <f t="shared" si="104"/>
        <v>0</v>
      </c>
      <c r="G180" s="36">
        <f t="shared" si="137"/>
        <v>0</v>
      </c>
      <c r="H180" s="36">
        <f t="shared" si="98"/>
        <v>0</v>
      </c>
      <c r="I180" s="39">
        <f t="shared" si="99"/>
        <v>0</v>
      </c>
      <c r="K180" s="38">
        <f t="shared" si="138"/>
        <v>71</v>
      </c>
      <c r="L180" s="35" t="str">
        <f t="shared" si="105"/>
        <v>0</v>
      </c>
      <c r="M180" s="36">
        <f t="shared" si="106"/>
        <v>0</v>
      </c>
      <c r="N180" s="36">
        <f t="shared" si="100"/>
        <v>0</v>
      </c>
      <c r="O180" s="36">
        <f t="shared" si="107"/>
        <v>0</v>
      </c>
      <c r="P180" s="36">
        <f t="shared" si="118"/>
        <v>0</v>
      </c>
      <c r="Q180" s="36">
        <f t="shared" si="108"/>
        <v>0</v>
      </c>
      <c r="R180" s="39">
        <f t="shared" si="109"/>
        <v>0</v>
      </c>
      <c r="T180" s="38">
        <f t="shared" si="139"/>
        <v>71</v>
      </c>
      <c r="U180" s="35" t="str">
        <f t="shared" si="110"/>
        <v>0</v>
      </c>
      <c r="V180" s="36">
        <f t="shared" si="111"/>
        <v>0</v>
      </c>
      <c r="W180" s="36">
        <f t="shared" si="101"/>
        <v>0</v>
      </c>
      <c r="X180" s="37">
        <f t="shared" si="112"/>
        <v>0</v>
      </c>
      <c r="Y180" s="36">
        <f t="shared" si="119"/>
        <v>0</v>
      </c>
      <c r="Z180" s="36">
        <f t="shared" si="113"/>
        <v>0</v>
      </c>
      <c r="AA180" s="39">
        <f t="shared" si="114"/>
        <v>0</v>
      </c>
      <c r="AB180" s="41"/>
      <c r="AC180" s="38">
        <f t="shared" si="140"/>
        <v>71</v>
      </c>
      <c r="AD180" s="35" t="str">
        <f t="shared" si="120"/>
        <v>0</v>
      </c>
      <c r="AE180" s="36">
        <f t="shared" si="121"/>
        <v>0</v>
      </c>
      <c r="AF180" s="36">
        <f t="shared" si="115"/>
        <v>0</v>
      </c>
      <c r="AG180" s="37">
        <f t="shared" si="96"/>
        <v>0</v>
      </c>
      <c r="AH180" s="36">
        <f t="shared" si="122"/>
        <v>0</v>
      </c>
      <c r="AI180" s="36">
        <f t="shared" si="123"/>
        <v>0</v>
      </c>
      <c r="AJ180" s="39">
        <f t="shared" si="124"/>
        <v>0</v>
      </c>
      <c r="AL180" s="38">
        <f t="shared" si="141"/>
        <v>71</v>
      </c>
      <c r="AM180" s="35" t="str">
        <f t="shared" si="125"/>
        <v>0</v>
      </c>
      <c r="AN180" s="36">
        <f t="shared" si="126"/>
        <v>0</v>
      </c>
      <c r="AO180" s="36">
        <f t="shared" si="116"/>
        <v>0</v>
      </c>
      <c r="AP180" s="37">
        <f t="shared" si="127"/>
        <v>0</v>
      </c>
      <c r="AQ180" s="36">
        <f t="shared" si="128"/>
        <v>0</v>
      </c>
      <c r="AR180" s="36">
        <f t="shared" si="129"/>
        <v>0</v>
      </c>
      <c r="AS180" s="39">
        <f t="shared" si="130"/>
        <v>0</v>
      </c>
      <c r="AU180" s="38">
        <f t="shared" si="142"/>
        <v>71</v>
      </c>
      <c r="AV180" s="35" t="str">
        <f t="shared" si="131"/>
        <v>0</v>
      </c>
      <c r="AW180" s="36">
        <f t="shared" si="132"/>
        <v>0</v>
      </c>
      <c r="AX180" s="36">
        <f t="shared" si="117"/>
        <v>0</v>
      </c>
      <c r="AY180" s="37">
        <f t="shared" si="133"/>
        <v>0</v>
      </c>
      <c r="AZ180" s="36">
        <f t="shared" si="134"/>
        <v>0</v>
      </c>
      <c r="BA180" s="36">
        <f t="shared" si="135"/>
        <v>0</v>
      </c>
      <c r="BB180" s="39">
        <f t="shared" si="136"/>
        <v>0</v>
      </c>
    </row>
    <row r="181" spans="2:54" x14ac:dyDescent="0.2">
      <c r="B181" s="65">
        <v>72</v>
      </c>
      <c r="C181" s="35" t="str">
        <f t="shared" si="102"/>
        <v>0</v>
      </c>
      <c r="D181" s="36">
        <f t="shared" si="103"/>
        <v>0</v>
      </c>
      <c r="E181" s="36">
        <f t="shared" si="97"/>
        <v>0</v>
      </c>
      <c r="F181" s="36">
        <f t="shared" si="104"/>
        <v>0</v>
      </c>
      <c r="G181" s="36">
        <f t="shared" si="137"/>
        <v>0</v>
      </c>
      <c r="H181" s="36">
        <f t="shared" si="98"/>
        <v>0</v>
      </c>
      <c r="I181" s="39">
        <f t="shared" si="99"/>
        <v>0</v>
      </c>
      <c r="K181" s="38">
        <f t="shared" si="138"/>
        <v>72</v>
      </c>
      <c r="L181" s="35" t="str">
        <f t="shared" si="105"/>
        <v>0</v>
      </c>
      <c r="M181" s="36">
        <f t="shared" si="106"/>
        <v>0</v>
      </c>
      <c r="N181" s="36">
        <f t="shared" si="100"/>
        <v>0</v>
      </c>
      <c r="O181" s="36">
        <f t="shared" si="107"/>
        <v>0</v>
      </c>
      <c r="P181" s="36">
        <f t="shared" si="118"/>
        <v>0</v>
      </c>
      <c r="Q181" s="36">
        <f t="shared" si="108"/>
        <v>0</v>
      </c>
      <c r="R181" s="39">
        <f t="shared" si="109"/>
        <v>0</v>
      </c>
      <c r="T181" s="38">
        <f t="shared" si="139"/>
        <v>72</v>
      </c>
      <c r="U181" s="35" t="str">
        <f t="shared" si="110"/>
        <v>0</v>
      </c>
      <c r="V181" s="36">
        <f t="shared" si="111"/>
        <v>0</v>
      </c>
      <c r="W181" s="36">
        <f t="shared" si="101"/>
        <v>0</v>
      </c>
      <c r="X181" s="37">
        <f t="shared" si="112"/>
        <v>0</v>
      </c>
      <c r="Y181" s="36">
        <f t="shared" si="119"/>
        <v>0</v>
      </c>
      <c r="Z181" s="36">
        <f t="shared" si="113"/>
        <v>0</v>
      </c>
      <c r="AA181" s="39">
        <f t="shared" si="114"/>
        <v>0</v>
      </c>
      <c r="AB181" s="41"/>
      <c r="AC181" s="38">
        <f t="shared" si="140"/>
        <v>72</v>
      </c>
      <c r="AD181" s="35" t="str">
        <f t="shared" si="120"/>
        <v>0</v>
      </c>
      <c r="AE181" s="36">
        <f t="shared" si="121"/>
        <v>0</v>
      </c>
      <c r="AF181" s="36">
        <f t="shared" si="115"/>
        <v>0</v>
      </c>
      <c r="AG181" s="37">
        <f t="shared" si="96"/>
        <v>0</v>
      </c>
      <c r="AH181" s="36">
        <f t="shared" si="122"/>
        <v>0</v>
      </c>
      <c r="AI181" s="36">
        <f t="shared" si="123"/>
        <v>0</v>
      </c>
      <c r="AJ181" s="39">
        <f t="shared" si="124"/>
        <v>0</v>
      </c>
      <c r="AL181" s="38">
        <f t="shared" si="141"/>
        <v>72</v>
      </c>
      <c r="AM181" s="35" t="str">
        <f t="shared" si="125"/>
        <v>0</v>
      </c>
      <c r="AN181" s="36">
        <f t="shared" si="126"/>
        <v>0</v>
      </c>
      <c r="AO181" s="36">
        <f t="shared" si="116"/>
        <v>0</v>
      </c>
      <c r="AP181" s="37">
        <f t="shared" si="127"/>
        <v>0</v>
      </c>
      <c r="AQ181" s="36">
        <f t="shared" si="128"/>
        <v>0</v>
      </c>
      <c r="AR181" s="36">
        <f t="shared" si="129"/>
        <v>0</v>
      </c>
      <c r="AS181" s="39">
        <f t="shared" si="130"/>
        <v>0</v>
      </c>
      <c r="AU181" s="38">
        <f t="shared" si="142"/>
        <v>72</v>
      </c>
      <c r="AV181" s="35" t="str">
        <f t="shared" si="131"/>
        <v>0</v>
      </c>
      <c r="AW181" s="36">
        <f t="shared" si="132"/>
        <v>0</v>
      </c>
      <c r="AX181" s="36">
        <f t="shared" si="117"/>
        <v>0</v>
      </c>
      <c r="AY181" s="37">
        <f t="shared" si="133"/>
        <v>0</v>
      </c>
      <c r="AZ181" s="36">
        <f t="shared" si="134"/>
        <v>0</v>
      </c>
      <c r="BA181" s="36">
        <f t="shared" si="135"/>
        <v>0</v>
      </c>
      <c r="BB181" s="39">
        <f t="shared" si="136"/>
        <v>0</v>
      </c>
    </row>
    <row r="182" spans="2:54" x14ac:dyDescent="0.2">
      <c r="B182" s="65">
        <v>73</v>
      </c>
      <c r="C182" s="35" t="str">
        <f t="shared" si="102"/>
        <v>0</v>
      </c>
      <c r="D182" s="36">
        <f t="shared" si="103"/>
        <v>0</v>
      </c>
      <c r="E182" s="36">
        <f t="shared" si="97"/>
        <v>0</v>
      </c>
      <c r="F182" s="36">
        <f t="shared" si="104"/>
        <v>0</v>
      </c>
      <c r="G182" s="36">
        <f t="shared" si="137"/>
        <v>0</v>
      </c>
      <c r="H182" s="36">
        <f t="shared" si="98"/>
        <v>0</v>
      </c>
      <c r="I182" s="39">
        <f t="shared" si="99"/>
        <v>0</v>
      </c>
      <c r="K182" s="38">
        <f t="shared" si="138"/>
        <v>73</v>
      </c>
      <c r="L182" s="35" t="str">
        <f t="shared" si="105"/>
        <v>0</v>
      </c>
      <c r="M182" s="36">
        <f t="shared" si="106"/>
        <v>0</v>
      </c>
      <c r="N182" s="36">
        <f t="shared" si="100"/>
        <v>0</v>
      </c>
      <c r="O182" s="36">
        <f t="shared" si="107"/>
        <v>0</v>
      </c>
      <c r="P182" s="36">
        <f t="shared" si="118"/>
        <v>0</v>
      </c>
      <c r="Q182" s="36">
        <f t="shared" si="108"/>
        <v>0</v>
      </c>
      <c r="R182" s="39">
        <f t="shared" si="109"/>
        <v>0</v>
      </c>
      <c r="T182" s="38">
        <f t="shared" si="139"/>
        <v>73</v>
      </c>
      <c r="U182" s="35" t="str">
        <f t="shared" si="110"/>
        <v>0</v>
      </c>
      <c r="V182" s="36">
        <f t="shared" si="111"/>
        <v>0</v>
      </c>
      <c r="W182" s="36">
        <f t="shared" si="101"/>
        <v>0</v>
      </c>
      <c r="X182" s="37">
        <f t="shared" si="112"/>
        <v>0</v>
      </c>
      <c r="Y182" s="36">
        <f t="shared" si="119"/>
        <v>0</v>
      </c>
      <c r="Z182" s="36">
        <f t="shared" si="113"/>
        <v>0</v>
      </c>
      <c r="AA182" s="39">
        <f t="shared" si="114"/>
        <v>0</v>
      </c>
      <c r="AB182" s="41"/>
      <c r="AC182" s="38">
        <f t="shared" si="140"/>
        <v>73</v>
      </c>
      <c r="AD182" s="35" t="str">
        <f t="shared" si="120"/>
        <v>0</v>
      </c>
      <c r="AE182" s="36">
        <f t="shared" si="121"/>
        <v>0</v>
      </c>
      <c r="AF182" s="36">
        <f t="shared" si="115"/>
        <v>0</v>
      </c>
      <c r="AG182" s="37">
        <f t="shared" si="96"/>
        <v>0</v>
      </c>
      <c r="AH182" s="36">
        <f t="shared" si="122"/>
        <v>0</v>
      </c>
      <c r="AI182" s="36">
        <f t="shared" si="123"/>
        <v>0</v>
      </c>
      <c r="AJ182" s="39">
        <f t="shared" si="124"/>
        <v>0</v>
      </c>
      <c r="AL182" s="38">
        <f t="shared" si="141"/>
        <v>73</v>
      </c>
      <c r="AM182" s="35" t="str">
        <f t="shared" si="125"/>
        <v>0</v>
      </c>
      <c r="AN182" s="36">
        <f t="shared" si="126"/>
        <v>0</v>
      </c>
      <c r="AO182" s="36">
        <f t="shared" si="116"/>
        <v>0</v>
      </c>
      <c r="AP182" s="37">
        <f t="shared" si="127"/>
        <v>0</v>
      </c>
      <c r="AQ182" s="36">
        <f t="shared" si="128"/>
        <v>0</v>
      </c>
      <c r="AR182" s="36">
        <f t="shared" si="129"/>
        <v>0</v>
      </c>
      <c r="AS182" s="39">
        <f t="shared" si="130"/>
        <v>0</v>
      </c>
      <c r="AU182" s="38">
        <f t="shared" si="142"/>
        <v>73</v>
      </c>
      <c r="AV182" s="35" t="str">
        <f t="shared" si="131"/>
        <v>0</v>
      </c>
      <c r="AW182" s="36">
        <f t="shared" si="132"/>
        <v>0</v>
      </c>
      <c r="AX182" s="36">
        <f t="shared" si="117"/>
        <v>0</v>
      </c>
      <c r="AY182" s="37">
        <f t="shared" si="133"/>
        <v>0</v>
      </c>
      <c r="AZ182" s="36">
        <f t="shared" si="134"/>
        <v>0</v>
      </c>
      <c r="BA182" s="36">
        <f t="shared" si="135"/>
        <v>0</v>
      </c>
      <c r="BB182" s="39">
        <f t="shared" si="136"/>
        <v>0</v>
      </c>
    </row>
    <row r="183" spans="2:54" x14ac:dyDescent="0.2">
      <c r="B183" s="65">
        <v>74</v>
      </c>
      <c r="C183" s="35" t="str">
        <f t="shared" si="102"/>
        <v>0</v>
      </c>
      <c r="D183" s="36">
        <f t="shared" si="103"/>
        <v>0</v>
      </c>
      <c r="E183" s="36">
        <f t="shared" si="97"/>
        <v>0</v>
      </c>
      <c r="F183" s="36">
        <f t="shared" si="104"/>
        <v>0</v>
      </c>
      <c r="G183" s="36">
        <f t="shared" si="137"/>
        <v>0</v>
      </c>
      <c r="H183" s="36">
        <f t="shared" si="98"/>
        <v>0</v>
      </c>
      <c r="I183" s="39">
        <f t="shared" si="99"/>
        <v>0</v>
      </c>
      <c r="K183" s="38">
        <f t="shared" si="138"/>
        <v>74</v>
      </c>
      <c r="L183" s="35" t="str">
        <f t="shared" si="105"/>
        <v>0</v>
      </c>
      <c r="M183" s="36">
        <f t="shared" si="106"/>
        <v>0</v>
      </c>
      <c r="N183" s="36">
        <f t="shared" si="100"/>
        <v>0</v>
      </c>
      <c r="O183" s="36">
        <f t="shared" si="107"/>
        <v>0</v>
      </c>
      <c r="P183" s="36">
        <f t="shared" si="118"/>
        <v>0</v>
      </c>
      <c r="Q183" s="36">
        <f t="shared" si="108"/>
        <v>0</v>
      </c>
      <c r="R183" s="39">
        <f t="shared" si="109"/>
        <v>0</v>
      </c>
      <c r="T183" s="38">
        <f t="shared" si="139"/>
        <v>74</v>
      </c>
      <c r="U183" s="35" t="str">
        <f t="shared" si="110"/>
        <v>0</v>
      </c>
      <c r="V183" s="36">
        <f t="shared" si="111"/>
        <v>0</v>
      </c>
      <c r="W183" s="36">
        <f t="shared" si="101"/>
        <v>0</v>
      </c>
      <c r="X183" s="37">
        <f t="shared" si="112"/>
        <v>0</v>
      </c>
      <c r="Y183" s="36">
        <f t="shared" si="119"/>
        <v>0</v>
      </c>
      <c r="Z183" s="36">
        <f t="shared" si="113"/>
        <v>0</v>
      </c>
      <c r="AA183" s="39">
        <f t="shared" si="114"/>
        <v>0</v>
      </c>
      <c r="AB183" s="41"/>
      <c r="AC183" s="38">
        <f t="shared" si="140"/>
        <v>74</v>
      </c>
      <c r="AD183" s="35" t="str">
        <f t="shared" si="120"/>
        <v>0</v>
      </c>
      <c r="AE183" s="36">
        <f t="shared" si="121"/>
        <v>0</v>
      </c>
      <c r="AF183" s="36">
        <f t="shared" si="115"/>
        <v>0</v>
      </c>
      <c r="AG183" s="37">
        <f t="shared" si="96"/>
        <v>0</v>
      </c>
      <c r="AH183" s="36">
        <f t="shared" si="122"/>
        <v>0</v>
      </c>
      <c r="AI183" s="36">
        <f t="shared" si="123"/>
        <v>0</v>
      </c>
      <c r="AJ183" s="39">
        <f t="shared" si="124"/>
        <v>0</v>
      </c>
      <c r="AL183" s="38">
        <f t="shared" si="141"/>
        <v>74</v>
      </c>
      <c r="AM183" s="35" t="str">
        <f t="shared" si="125"/>
        <v>0</v>
      </c>
      <c r="AN183" s="36">
        <f t="shared" si="126"/>
        <v>0</v>
      </c>
      <c r="AO183" s="36">
        <f t="shared" si="116"/>
        <v>0</v>
      </c>
      <c r="AP183" s="37">
        <f t="shared" si="127"/>
        <v>0</v>
      </c>
      <c r="AQ183" s="36">
        <f t="shared" si="128"/>
        <v>0</v>
      </c>
      <c r="AR183" s="36">
        <f t="shared" si="129"/>
        <v>0</v>
      </c>
      <c r="AS183" s="39">
        <f t="shared" si="130"/>
        <v>0</v>
      </c>
      <c r="AU183" s="38">
        <f t="shared" si="142"/>
        <v>74</v>
      </c>
      <c r="AV183" s="35" t="str">
        <f t="shared" si="131"/>
        <v>0</v>
      </c>
      <c r="AW183" s="36">
        <f t="shared" si="132"/>
        <v>0</v>
      </c>
      <c r="AX183" s="36">
        <f t="shared" si="117"/>
        <v>0</v>
      </c>
      <c r="AY183" s="37">
        <f t="shared" si="133"/>
        <v>0</v>
      </c>
      <c r="AZ183" s="36">
        <f t="shared" si="134"/>
        <v>0</v>
      </c>
      <c r="BA183" s="36">
        <f t="shared" si="135"/>
        <v>0</v>
      </c>
      <c r="BB183" s="39">
        <f t="shared" si="136"/>
        <v>0</v>
      </c>
    </row>
    <row r="184" spans="2:54" x14ac:dyDescent="0.2">
      <c r="B184" s="65">
        <v>75</v>
      </c>
      <c r="C184" s="35" t="str">
        <f t="shared" si="102"/>
        <v>0</v>
      </c>
      <c r="D184" s="36">
        <f t="shared" si="103"/>
        <v>0</v>
      </c>
      <c r="E184" s="36">
        <f t="shared" si="97"/>
        <v>0</v>
      </c>
      <c r="F184" s="36">
        <f t="shared" si="104"/>
        <v>0</v>
      </c>
      <c r="G184" s="36">
        <f t="shared" si="137"/>
        <v>0</v>
      </c>
      <c r="H184" s="36">
        <f t="shared" si="98"/>
        <v>0</v>
      </c>
      <c r="I184" s="39">
        <f t="shared" si="99"/>
        <v>0</v>
      </c>
      <c r="K184" s="38">
        <f t="shared" si="138"/>
        <v>75</v>
      </c>
      <c r="L184" s="35" t="str">
        <f t="shared" si="105"/>
        <v>0</v>
      </c>
      <c r="M184" s="36">
        <f t="shared" si="106"/>
        <v>0</v>
      </c>
      <c r="N184" s="36">
        <f t="shared" si="100"/>
        <v>0</v>
      </c>
      <c r="O184" s="36">
        <f t="shared" si="107"/>
        <v>0</v>
      </c>
      <c r="P184" s="36">
        <f t="shared" si="118"/>
        <v>0</v>
      </c>
      <c r="Q184" s="36">
        <f t="shared" si="108"/>
        <v>0</v>
      </c>
      <c r="R184" s="39">
        <f t="shared" si="109"/>
        <v>0</v>
      </c>
      <c r="T184" s="38">
        <f t="shared" si="139"/>
        <v>75</v>
      </c>
      <c r="U184" s="35" t="str">
        <f t="shared" si="110"/>
        <v>0</v>
      </c>
      <c r="V184" s="36">
        <f t="shared" si="111"/>
        <v>0</v>
      </c>
      <c r="W184" s="36">
        <f t="shared" si="101"/>
        <v>0</v>
      </c>
      <c r="X184" s="37">
        <f t="shared" si="112"/>
        <v>0</v>
      </c>
      <c r="Y184" s="36">
        <f t="shared" si="119"/>
        <v>0</v>
      </c>
      <c r="Z184" s="36">
        <f t="shared" si="113"/>
        <v>0</v>
      </c>
      <c r="AA184" s="39">
        <f t="shared" si="114"/>
        <v>0</v>
      </c>
      <c r="AB184" s="41"/>
      <c r="AC184" s="38">
        <f t="shared" si="140"/>
        <v>75</v>
      </c>
      <c r="AD184" s="35" t="str">
        <f t="shared" si="120"/>
        <v>0</v>
      </c>
      <c r="AE184" s="36">
        <f t="shared" si="121"/>
        <v>0</v>
      </c>
      <c r="AF184" s="36">
        <f t="shared" si="115"/>
        <v>0</v>
      </c>
      <c r="AG184" s="37">
        <f t="shared" si="96"/>
        <v>0</v>
      </c>
      <c r="AH184" s="36">
        <f t="shared" si="122"/>
        <v>0</v>
      </c>
      <c r="AI184" s="36">
        <f t="shared" si="123"/>
        <v>0</v>
      </c>
      <c r="AJ184" s="39">
        <f t="shared" si="124"/>
        <v>0</v>
      </c>
      <c r="AL184" s="38">
        <f t="shared" si="141"/>
        <v>75</v>
      </c>
      <c r="AM184" s="35" t="str">
        <f t="shared" si="125"/>
        <v>0</v>
      </c>
      <c r="AN184" s="36">
        <f t="shared" si="126"/>
        <v>0</v>
      </c>
      <c r="AO184" s="36">
        <f t="shared" si="116"/>
        <v>0</v>
      </c>
      <c r="AP184" s="37">
        <f t="shared" si="127"/>
        <v>0</v>
      </c>
      <c r="AQ184" s="36">
        <f t="shared" si="128"/>
        <v>0</v>
      </c>
      <c r="AR184" s="36">
        <f t="shared" si="129"/>
        <v>0</v>
      </c>
      <c r="AS184" s="39">
        <f t="shared" si="130"/>
        <v>0</v>
      </c>
      <c r="AU184" s="38">
        <f t="shared" si="142"/>
        <v>75</v>
      </c>
      <c r="AV184" s="35" t="str">
        <f t="shared" si="131"/>
        <v>0</v>
      </c>
      <c r="AW184" s="36">
        <f t="shared" si="132"/>
        <v>0</v>
      </c>
      <c r="AX184" s="36">
        <f t="shared" si="117"/>
        <v>0</v>
      </c>
      <c r="AY184" s="37">
        <f t="shared" si="133"/>
        <v>0</v>
      </c>
      <c r="AZ184" s="36">
        <f t="shared" si="134"/>
        <v>0</v>
      </c>
      <c r="BA184" s="36">
        <f t="shared" si="135"/>
        <v>0</v>
      </c>
      <c r="BB184" s="39">
        <f t="shared" si="136"/>
        <v>0</v>
      </c>
    </row>
    <row r="185" spans="2:54" x14ac:dyDescent="0.2">
      <c r="B185" s="65">
        <v>76</v>
      </c>
      <c r="C185" s="35" t="str">
        <f t="shared" si="102"/>
        <v>0</v>
      </c>
      <c r="D185" s="36">
        <f t="shared" si="103"/>
        <v>0</v>
      </c>
      <c r="E185" s="36">
        <f t="shared" si="97"/>
        <v>0</v>
      </c>
      <c r="F185" s="36">
        <f t="shared" si="104"/>
        <v>0</v>
      </c>
      <c r="G185" s="36">
        <f t="shared" si="137"/>
        <v>0</v>
      </c>
      <c r="H185" s="36">
        <f t="shared" si="98"/>
        <v>0</v>
      </c>
      <c r="I185" s="39">
        <f t="shared" si="99"/>
        <v>0</v>
      </c>
      <c r="K185" s="38">
        <f t="shared" si="138"/>
        <v>76</v>
      </c>
      <c r="L185" s="35" t="str">
        <f t="shared" si="105"/>
        <v>0</v>
      </c>
      <c r="M185" s="36">
        <f t="shared" si="106"/>
        <v>0</v>
      </c>
      <c r="N185" s="36">
        <f t="shared" si="100"/>
        <v>0</v>
      </c>
      <c r="O185" s="36">
        <f t="shared" si="107"/>
        <v>0</v>
      </c>
      <c r="P185" s="36">
        <f t="shared" si="118"/>
        <v>0</v>
      </c>
      <c r="Q185" s="36">
        <f t="shared" si="108"/>
        <v>0</v>
      </c>
      <c r="R185" s="39">
        <f t="shared" si="109"/>
        <v>0</v>
      </c>
      <c r="T185" s="38">
        <f t="shared" si="139"/>
        <v>76</v>
      </c>
      <c r="U185" s="35" t="str">
        <f t="shared" si="110"/>
        <v>0</v>
      </c>
      <c r="V185" s="36">
        <f t="shared" si="111"/>
        <v>0</v>
      </c>
      <c r="W185" s="36">
        <f t="shared" si="101"/>
        <v>0</v>
      </c>
      <c r="X185" s="37">
        <f t="shared" si="112"/>
        <v>0</v>
      </c>
      <c r="Y185" s="36">
        <f t="shared" si="119"/>
        <v>0</v>
      </c>
      <c r="Z185" s="36">
        <f t="shared" si="113"/>
        <v>0</v>
      </c>
      <c r="AA185" s="39">
        <f t="shared" si="114"/>
        <v>0</v>
      </c>
      <c r="AB185" s="41"/>
      <c r="AC185" s="38">
        <f t="shared" si="140"/>
        <v>76</v>
      </c>
      <c r="AD185" s="35" t="str">
        <f t="shared" si="120"/>
        <v>0</v>
      </c>
      <c r="AE185" s="36">
        <f t="shared" si="121"/>
        <v>0</v>
      </c>
      <c r="AF185" s="36">
        <f t="shared" si="115"/>
        <v>0</v>
      </c>
      <c r="AG185" s="37">
        <f t="shared" si="96"/>
        <v>0</v>
      </c>
      <c r="AH185" s="36">
        <f t="shared" si="122"/>
        <v>0</v>
      </c>
      <c r="AI185" s="36">
        <f t="shared" si="123"/>
        <v>0</v>
      </c>
      <c r="AJ185" s="39">
        <f t="shared" si="124"/>
        <v>0</v>
      </c>
      <c r="AL185" s="38">
        <f t="shared" si="141"/>
        <v>76</v>
      </c>
      <c r="AM185" s="35" t="str">
        <f t="shared" si="125"/>
        <v>0</v>
      </c>
      <c r="AN185" s="36">
        <f t="shared" si="126"/>
        <v>0</v>
      </c>
      <c r="AO185" s="36">
        <f t="shared" si="116"/>
        <v>0</v>
      </c>
      <c r="AP185" s="37">
        <f t="shared" si="127"/>
        <v>0</v>
      </c>
      <c r="AQ185" s="36">
        <f t="shared" si="128"/>
        <v>0</v>
      </c>
      <c r="AR185" s="36">
        <f t="shared" si="129"/>
        <v>0</v>
      </c>
      <c r="AS185" s="39">
        <f t="shared" si="130"/>
        <v>0</v>
      </c>
      <c r="AU185" s="38">
        <f t="shared" si="142"/>
        <v>76</v>
      </c>
      <c r="AV185" s="35" t="str">
        <f t="shared" si="131"/>
        <v>0</v>
      </c>
      <c r="AW185" s="36">
        <f t="shared" si="132"/>
        <v>0</v>
      </c>
      <c r="AX185" s="36">
        <f t="shared" si="117"/>
        <v>0</v>
      </c>
      <c r="AY185" s="37">
        <f t="shared" si="133"/>
        <v>0</v>
      </c>
      <c r="AZ185" s="36">
        <f t="shared" si="134"/>
        <v>0</v>
      </c>
      <c r="BA185" s="36">
        <f t="shared" si="135"/>
        <v>0</v>
      </c>
      <c r="BB185" s="39">
        <f t="shared" si="136"/>
        <v>0</v>
      </c>
    </row>
    <row r="186" spans="2:54" x14ac:dyDescent="0.2">
      <c r="B186" s="65">
        <v>77</v>
      </c>
      <c r="C186" s="35" t="str">
        <f t="shared" si="102"/>
        <v>0</v>
      </c>
      <c r="D186" s="36">
        <f t="shared" si="103"/>
        <v>0</v>
      </c>
      <c r="E186" s="36">
        <f t="shared" si="97"/>
        <v>0</v>
      </c>
      <c r="F186" s="36">
        <f t="shared" si="104"/>
        <v>0</v>
      </c>
      <c r="G186" s="36">
        <f t="shared" si="137"/>
        <v>0</v>
      </c>
      <c r="H186" s="36">
        <f t="shared" si="98"/>
        <v>0</v>
      </c>
      <c r="I186" s="39">
        <f t="shared" si="99"/>
        <v>0</v>
      </c>
      <c r="K186" s="38">
        <f t="shared" si="138"/>
        <v>77</v>
      </c>
      <c r="L186" s="35" t="str">
        <f t="shared" si="105"/>
        <v>0</v>
      </c>
      <c r="M186" s="36">
        <f t="shared" si="106"/>
        <v>0</v>
      </c>
      <c r="N186" s="36">
        <f t="shared" si="100"/>
        <v>0</v>
      </c>
      <c r="O186" s="36">
        <f t="shared" si="107"/>
        <v>0</v>
      </c>
      <c r="P186" s="36">
        <f t="shared" si="118"/>
        <v>0</v>
      </c>
      <c r="Q186" s="36">
        <f t="shared" si="108"/>
        <v>0</v>
      </c>
      <c r="R186" s="39">
        <f t="shared" si="109"/>
        <v>0</v>
      </c>
      <c r="T186" s="38">
        <f t="shared" si="139"/>
        <v>77</v>
      </c>
      <c r="U186" s="35" t="str">
        <f t="shared" si="110"/>
        <v>0</v>
      </c>
      <c r="V186" s="36">
        <f t="shared" si="111"/>
        <v>0</v>
      </c>
      <c r="W186" s="36">
        <f t="shared" si="101"/>
        <v>0</v>
      </c>
      <c r="X186" s="37">
        <f t="shared" si="112"/>
        <v>0</v>
      </c>
      <c r="Y186" s="36">
        <f t="shared" si="119"/>
        <v>0</v>
      </c>
      <c r="Z186" s="36">
        <f t="shared" si="113"/>
        <v>0</v>
      </c>
      <c r="AA186" s="39">
        <f t="shared" si="114"/>
        <v>0</v>
      </c>
      <c r="AB186" s="41"/>
      <c r="AC186" s="38">
        <f t="shared" si="140"/>
        <v>77</v>
      </c>
      <c r="AD186" s="35" t="str">
        <f t="shared" si="120"/>
        <v>0</v>
      </c>
      <c r="AE186" s="36">
        <f t="shared" si="121"/>
        <v>0</v>
      </c>
      <c r="AF186" s="36">
        <f t="shared" si="115"/>
        <v>0</v>
      </c>
      <c r="AG186" s="37">
        <f t="shared" si="96"/>
        <v>0</v>
      </c>
      <c r="AH186" s="36">
        <f t="shared" si="122"/>
        <v>0</v>
      </c>
      <c r="AI186" s="36">
        <f t="shared" si="123"/>
        <v>0</v>
      </c>
      <c r="AJ186" s="39">
        <f t="shared" si="124"/>
        <v>0</v>
      </c>
      <c r="AL186" s="38">
        <f t="shared" si="141"/>
        <v>77</v>
      </c>
      <c r="AM186" s="35" t="str">
        <f t="shared" si="125"/>
        <v>0</v>
      </c>
      <c r="AN186" s="36">
        <f t="shared" si="126"/>
        <v>0</v>
      </c>
      <c r="AO186" s="36">
        <f t="shared" si="116"/>
        <v>0</v>
      </c>
      <c r="AP186" s="37">
        <f t="shared" si="127"/>
        <v>0</v>
      </c>
      <c r="AQ186" s="36">
        <f t="shared" si="128"/>
        <v>0</v>
      </c>
      <c r="AR186" s="36">
        <f t="shared" si="129"/>
        <v>0</v>
      </c>
      <c r="AS186" s="39">
        <f t="shared" si="130"/>
        <v>0</v>
      </c>
      <c r="AU186" s="38">
        <f t="shared" si="142"/>
        <v>77</v>
      </c>
      <c r="AV186" s="35" t="str">
        <f t="shared" si="131"/>
        <v>0</v>
      </c>
      <c r="AW186" s="36">
        <f t="shared" si="132"/>
        <v>0</v>
      </c>
      <c r="AX186" s="36">
        <f t="shared" si="117"/>
        <v>0</v>
      </c>
      <c r="AY186" s="37">
        <f t="shared" si="133"/>
        <v>0</v>
      </c>
      <c r="AZ186" s="36">
        <f t="shared" si="134"/>
        <v>0</v>
      </c>
      <c r="BA186" s="36">
        <f t="shared" si="135"/>
        <v>0</v>
      </c>
      <c r="BB186" s="39">
        <f t="shared" si="136"/>
        <v>0</v>
      </c>
    </row>
    <row r="187" spans="2:54" x14ac:dyDescent="0.2">
      <c r="B187" s="65">
        <v>78</v>
      </c>
      <c r="C187" s="35" t="str">
        <f t="shared" si="102"/>
        <v>0</v>
      </c>
      <c r="D187" s="36">
        <f t="shared" si="103"/>
        <v>0</v>
      </c>
      <c r="E187" s="36">
        <f t="shared" si="97"/>
        <v>0</v>
      </c>
      <c r="F187" s="36">
        <f t="shared" si="104"/>
        <v>0</v>
      </c>
      <c r="G187" s="36">
        <f t="shared" si="137"/>
        <v>0</v>
      </c>
      <c r="H187" s="36">
        <f t="shared" si="98"/>
        <v>0</v>
      </c>
      <c r="I187" s="39">
        <f t="shared" si="99"/>
        <v>0</v>
      </c>
      <c r="K187" s="38">
        <f t="shared" si="138"/>
        <v>78</v>
      </c>
      <c r="L187" s="35" t="str">
        <f t="shared" si="105"/>
        <v>0</v>
      </c>
      <c r="M187" s="36">
        <f t="shared" si="106"/>
        <v>0</v>
      </c>
      <c r="N187" s="36">
        <f t="shared" si="100"/>
        <v>0</v>
      </c>
      <c r="O187" s="36">
        <f t="shared" si="107"/>
        <v>0</v>
      </c>
      <c r="P187" s="36">
        <f t="shared" si="118"/>
        <v>0</v>
      </c>
      <c r="Q187" s="36">
        <f t="shared" si="108"/>
        <v>0</v>
      </c>
      <c r="R187" s="39">
        <f t="shared" si="109"/>
        <v>0</v>
      </c>
      <c r="T187" s="38">
        <f t="shared" si="139"/>
        <v>78</v>
      </c>
      <c r="U187" s="35" t="str">
        <f t="shared" si="110"/>
        <v>0</v>
      </c>
      <c r="V187" s="36">
        <f t="shared" si="111"/>
        <v>0</v>
      </c>
      <c r="W187" s="36">
        <f t="shared" si="101"/>
        <v>0</v>
      </c>
      <c r="X187" s="37">
        <f t="shared" si="112"/>
        <v>0</v>
      </c>
      <c r="Y187" s="36">
        <f t="shared" si="119"/>
        <v>0</v>
      </c>
      <c r="Z187" s="36">
        <f t="shared" si="113"/>
        <v>0</v>
      </c>
      <c r="AA187" s="39">
        <f t="shared" si="114"/>
        <v>0</v>
      </c>
      <c r="AB187" s="41"/>
      <c r="AC187" s="38">
        <f t="shared" si="140"/>
        <v>78</v>
      </c>
      <c r="AD187" s="35" t="str">
        <f t="shared" si="120"/>
        <v>0</v>
      </c>
      <c r="AE187" s="36">
        <f t="shared" si="121"/>
        <v>0</v>
      </c>
      <c r="AF187" s="36">
        <f t="shared" si="115"/>
        <v>0</v>
      </c>
      <c r="AG187" s="37">
        <f t="shared" si="96"/>
        <v>0</v>
      </c>
      <c r="AH187" s="36">
        <f t="shared" si="122"/>
        <v>0</v>
      </c>
      <c r="AI187" s="36">
        <f t="shared" si="123"/>
        <v>0</v>
      </c>
      <c r="AJ187" s="39">
        <f t="shared" si="124"/>
        <v>0</v>
      </c>
      <c r="AL187" s="38">
        <f t="shared" si="141"/>
        <v>78</v>
      </c>
      <c r="AM187" s="35" t="str">
        <f t="shared" si="125"/>
        <v>0</v>
      </c>
      <c r="AN187" s="36">
        <f t="shared" si="126"/>
        <v>0</v>
      </c>
      <c r="AO187" s="36">
        <f t="shared" si="116"/>
        <v>0</v>
      </c>
      <c r="AP187" s="37">
        <f t="shared" si="127"/>
        <v>0</v>
      </c>
      <c r="AQ187" s="36">
        <f t="shared" si="128"/>
        <v>0</v>
      </c>
      <c r="AR187" s="36">
        <f t="shared" si="129"/>
        <v>0</v>
      </c>
      <c r="AS187" s="39">
        <f t="shared" si="130"/>
        <v>0</v>
      </c>
      <c r="AU187" s="38">
        <f t="shared" si="142"/>
        <v>78</v>
      </c>
      <c r="AV187" s="35" t="str">
        <f t="shared" si="131"/>
        <v>0</v>
      </c>
      <c r="AW187" s="36">
        <f t="shared" si="132"/>
        <v>0</v>
      </c>
      <c r="AX187" s="36">
        <f t="shared" si="117"/>
        <v>0</v>
      </c>
      <c r="AY187" s="37">
        <f t="shared" si="133"/>
        <v>0</v>
      </c>
      <c r="AZ187" s="36">
        <f t="shared" si="134"/>
        <v>0</v>
      </c>
      <c r="BA187" s="36">
        <f t="shared" si="135"/>
        <v>0</v>
      </c>
      <c r="BB187" s="39">
        <f t="shared" si="136"/>
        <v>0</v>
      </c>
    </row>
    <row r="188" spans="2:54" x14ac:dyDescent="0.2">
      <c r="B188" s="65">
        <v>79</v>
      </c>
      <c r="C188" s="35" t="str">
        <f t="shared" si="102"/>
        <v>0</v>
      </c>
      <c r="D188" s="36">
        <f t="shared" si="103"/>
        <v>0</v>
      </c>
      <c r="E188" s="36">
        <f t="shared" si="97"/>
        <v>0</v>
      </c>
      <c r="F188" s="36">
        <f t="shared" si="104"/>
        <v>0</v>
      </c>
      <c r="G188" s="36">
        <f t="shared" si="137"/>
        <v>0</v>
      </c>
      <c r="H188" s="36">
        <f t="shared" si="98"/>
        <v>0</v>
      </c>
      <c r="I188" s="39">
        <f t="shared" si="99"/>
        <v>0</v>
      </c>
      <c r="K188" s="38">
        <f t="shared" si="138"/>
        <v>79</v>
      </c>
      <c r="L188" s="35" t="str">
        <f t="shared" si="105"/>
        <v>0</v>
      </c>
      <c r="M188" s="36">
        <f t="shared" si="106"/>
        <v>0</v>
      </c>
      <c r="N188" s="36">
        <f t="shared" si="100"/>
        <v>0</v>
      </c>
      <c r="O188" s="36">
        <f t="shared" si="107"/>
        <v>0</v>
      </c>
      <c r="P188" s="36">
        <f t="shared" si="118"/>
        <v>0</v>
      </c>
      <c r="Q188" s="36">
        <f t="shared" si="108"/>
        <v>0</v>
      </c>
      <c r="R188" s="39">
        <f t="shared" si="109"/>
        <v>0</v>
      </c>
      <c r="T188" s="38">
        <f t="shared" si="139"/>
        <v>79</v>
      </c>
      <c r="U188" s="35" t="str">
        <f t="shared" si="110"/>
        <v>0</v>
      </c>
      <c r="V188" s="36">
        <f t="shared" si="111"/>
        <v>0</v>
      </c>
      <c r="W188" s="36">
        <f t="shared" si="101"/>
        <v>0</v>
      </c>
      <c r="X188" s="37">
        <f t="shared" si="112"/>
        <v>0</v>
      </c>
      <c r="Y188" s="36">
        <f t="shared" si="119"/>
        <v>0</v>
      </c>
      <c r="Z188" s="36">
        <f t="shared" si="113"/>
        <v>0</v>
      </c>
      <c r="AA188" s="39">
        <f t="shared" si="114"/>
        <v>0</v>
      </c>
      <c r="AB188" s="41"/>
      <c r="AC188" s="38">
        <f t="shared" si="140"/>
        <v>79</v>
      </c>
      <c r="AD188" s="35" t="str">
        <f t="shared" si="120"/>
        <v>0</v>
      </c>
      <c r="AE188" s="36">
        <f t="shared" si="121"/>
        <v>0</v>
      </c>
      <c r="AF188" s="36">
        <f t="shared" si="115"/>
        <v>0</v>
      </c>
      <c r="AG188" s="37">
        <f t="shared" si="96"/>
        <v>0</v>
      </c>
      <c r="AH188" s="36">
        <f t="shared" si="122"/>
        <v>0</v>
      </c>
      <c r="AI188" s="36">
        <f t="shared" si="123"/>
        <v>0</v>
      </c>
      <c r="AJ188" s="39">
        <f t="shared" si="124"/>
        <v>0</v>
      </c>
      <c r="AL188" s="38">
        <f t="shared" si="141"/>
        <v>79</v>
      </c>
      <c r="AM188" s="35" t="str">
        <f t="shared" si="125"/>
        <v>0</v>
      </c>
      <c r="AN188" s="36">
        <f t="shared" si="126"/>
        <v>0</v>
      </c>
      <c r="AO188" s="36">
        <f t="shared" si="116"/>
        <v>0</v>
      </c>
      <c r="AP188" s="37">
        <f t="shared" si="127"/>
        <v>0</v>
      </c>
      <c r="AQ188" s="36">
        <f t="shared" si="128"/>
        <v>0</v>
      </c>
      <c r="AR188" s="36">
        <f t="shared" si="129"/>
        <v>0</v>
      </c>
      <c r="AS188" s="39">
        <f t="shared" si="130"/>
        <v>0</v>
      </c>
      <c r="AU188" s="38">
        <f t="shared" si="142"/>
        <v>79</v>
      </c>
      <c r="AV188" s="35" t="str">
        <f t="shared" si="131"/>
        <v>0</v>
      </c>
      <c r="AW188" s="36">
        <f t="shared" si="132"/>
        <v>0</v>
      </c>
      <c r="AX188" s="36">
        <f t="shared" si="117"/>
        <v>0</v>
      </c>
      <c r="AY188" s="37">
        <f t="shared" si="133"/>
        <v>0</v>
      </c>
      <c r="AZ188" s="36">
        <f t="shared" si="134"/>
        <v>0</v>
      </c>
      <c r="BA188" s="36">
        <f t="shared" si="135"/>
        <v>0</v>
      </c>
      <c r="BB188" s="39">
        <f t="shared" si="136"/>
        <v>0</v>
      </c>
    </row>
    <row r="189" spans="2:54" x14ac:dyDescent="0.2">
      <c r="B189" s="65">
        <v>80</v>
      </c>
      <c r="C189" s="35" t="str">
        <f t="shared" si="102"/>
        <v>0</v>
      </c>
      <c r="D189" s="36">
        <f t="shared" si="103"/>
        <v>0</v>
      </c>
      <c r="E189" s="36">
        <f t="shared" si="97"/>
        <v>0</v>
      </c>
      <c r="F189" s="36">
        <f t="shared" si="104"/>
        <v>0</v>
      </c>
      <c r="G189" s="36">
        <f t="shared" si="137"/>
        <v>0</v>
      </c>
      <c r="H189" s="36">
        <f t="shared" si="98"/>
        <v>0</v>
      </c>
      <c r="I189" s="39">
        <f t="shared" si="99"/>
        <v>0</v>
      </c>
      <c r="K189" s="38">
        <f t="shared" si="138"/>
        <v>80</v>
      </c>
      <c r="L189" s="35" t="str">
        <f t="shared" si="105"/>
        <v>0</v>
      </c>
      <c r="M189" s="36">
        <f t="shared" si="106"/>
        <v>0</v>
      </c>
      <c r="N189" s="36">
        <f t="shared" si="100"/>
        <v>0</v>
      </c>
      <c r="O189" s="36">
        <f t="shared" si="107"/>
        <v>0</v>
      </c>
      <c r="P189" s="36">
        <f t="shared" si="118"/>
        <v>0</v>
      </c>
      <c r="Q189" s="36">
        <f t="shared" si="108"/>
        <v>0</v>
      </c>
      <c r="R189" s="39">
        <f t="shared" si="109"/>
        <v>0</v>
      </c>
      <c r="T189" s="38">
        <f t="shared" si="139"/>
        <v>80</v>
      </c>
      <c r="U189" s="35" t="str">
        <f t="shared" si="110"/>
        <v>0</v>
      </c>
      <c r="V189" s="36">
        <f t="shared" si="111"/>
        <v>0</v>
      </c>
      <c r="W189" s="36">
        <f t="shared" si="101"/>
        <v>0</v>
      </c>
      <c r="X189" s="37">
        <f t="shared" si="112"/>
        <v>0</v>
      </c>
      <c r="Y189" s="36">
        <f t="shared" si="119"/>
        <v>0</v>
      </c>
      <c r="Z189" s="36">
        <f t="shared" si="113"/>
        <v>0</v>
      </c>
      <c r="AA189" s="39">
        <f t="shared" si="114"/>
        <v>0</v>
      </c>
      <c r="AB189" s="41"/>
      <c r="AC189" s="38">
        <f t="shared" si="140"/>
        <v>80</v>
      </c>
      <c r="AD189" s="35" t="str">
        <f t="shared" si="120"/>
        <v>0</v>
      </c>
      <c r="AE189" s="36">
        <f t="shared" si="121"/>
        <v>0</v>
      </c>
      <c r="AF189" s="36">
        <f t="shared" si="115"/>
        <v>0</v>
      </c>
      <c r="AG189" s="37">
        <f t="shared" si="96"/>
        <v>0</v>
      </c>
      <c r="AH189" s="36">
        <f t="shared" si="122"/>
        <v>0</v>
      </c>
      <c r="AI189" s="36">
        <f t="shared" si="123"/>
        <v>0</v>
      </c>
      <c r="AJ189" s="39">
        <f t="shared" si="124"/>
        <v>0</v>
      </c>
      <c r="AL189" s="38">
        <f t="shared" si="141"/>
        <v>80</v>
      </c>
      <c r="AM189" s="35" t="str">
        <f t="shared" si="125"/>
        <v>0</v>
      </c>
      <c r="AN189" s="36">
        <f t="shared" si="126"/>
        <v>0</v>
      </c>
      <c r="AO189" s="36">
        <f t="shared" si="116"/>
        <v>0</v>
      </c>
      <c r="AP189" s="37">
        <f t="shared" si="127"/>
        <v>0</v>
      </c>
      <c r="AQ189" s="36">
        <f t="shared" si="128"/>
        <v>0</v>
      </c>
      <c r="AR189" s="36">
        <f t="shared" si="129"/>
        <v>0</v>
      </c>
      <c r="AS189" s="39">
        <f t="shared" si="130"/>
        <v>0</v>
      </c>
      <c r="AU189" s="38">
        <f t="shared" si="142"/>
        <v>80</v>
      </c>
      <c r="AV189" s="35" t="str">
        <f t="shared" si="131"/>
        <v>0</v>
      </c>
      <c r="AW189" s="36">
        <f t="shared" si="132"/>
        <v>0</v>
      </c>
      <c r="AX189" s="36">
        <f t="shared" si="117"/>
        <v>0</v>
      </c>
      <c r="AY189" s="37">
        <f t="shared" si="133"/>
        <v>0</v>
      </c>
      <c r="AZ189" s="36">
        <f t="shared" si="134"/>
        <v>0</v>
      </c>
      <c r="BA189" s="36">
        <f t="shared" si="135"/>
        <v>0</v>
      </c>
      <c r="BB189" s="39">
        <f t="shared" si="136"/>
        <v>0</v>
      </c>
    </row>
    <row r="190" spans="2:54" x14ac:dyDescent="0.2">
      <c r="B190" s="65">
        <v>81</v>
      </c>
      <c r="C190" s="35" t="str">
        <f t="shared" si="102"/>
        <v>0</v>
      </c>
      <c r="D190" s="36">
        <f t="shared" si="103"/>
        <v>0</v>
      </c>
      <c r="E190" s="36">
        <f t="shared" si="97"/>
        <v>0</v>
      </c>
      <c r="F190" s="36">
        <f t="shared" si="104"/>
        <v>0</v>
      </c>
      <c r="G190" s="36">
        <f t="shared" si="137"/>
        <v>0</v>
      </c>
      <c r="H190" s="36">
        <f t="shared" si="98"/>
        <v>0</v>
      </c>
      <c r="I190" s="39">
        <f t="shared" si="99"/>
        <v>0</v>
      </c>
      <c r="K190" s="38">
        <f t="shared" si="138"/>
        <v>81</v>
      </c>
      <c r="L190" s="35" t="str">
        <f t="shared" si="105"/>
        <v>0</v>
      </c>
      <c r="M190" s="36">
        <f t="shared" si="106"/>
        <v>0</v>
      </c>
      <c r="N190" s="36">
        <f t="shared" si="100"/>
        <v>0</v>
      </c>
      <c r="O190" s="36">
        <f t="shared" si="107"/>
        <v>0</v>
      </c>
      <c r="P190" s="36">
        <f t="shared" si="118"/>
        <v>0</v>
      </c>
      <c r="Q190" s="36">
        <f t="shared" si="108"/>
        <v>0</v>
      </c>
      <c r="R190" s="39">
        <f t="shared" si="109"/>
        <v>0</v>
      </c>
      <c r="T190" s="38">
        <f t="shared" si="139"/>
        <v>81</v>
      </c>
      <c r="U190" s="35" t="str">
        <f t="shared" si="110"/>
        <v>0</v>
      </c>
      <c r="V190" s="36">
        <f t="shared" si="111"/>
        <v>0</v>
      </c>
      <c r="W190" s="36">
        <f t="shared" si="101"/>
        <v>0</v>
      </c>
      <c r="X190" s="37">
        <f t="shared" si="112"/>
        <v>0</v>
      </c>
      <c r="Y190" s="36">
        <f t="shared" si="119"/>
        <v>0</v>
      </c>
      <c r="Z190" s="36">
        <f t="shared" si="113"/>
        <v>0</v>
      </c>
      <c r="AA190" s="39">
        <f t="shared" si="114"/>
        <v>0</v>
      </c>
      <c r="AB190" s="41"/>
      <c r="AC190" s="38">
        <f t="shared" si="140"/>
        <v>81</v>
      </c>
      <c r="AD190" s="35" t="str">
        <f t="shared" si="120"/>
        <v>0</v>
      </c>
      <c r="AE190" s="36">
        <f t="shared" si="121"/>
        <v>0</v>
      </c>
      <c r="AF190" s="36">
        <f t="shared" si="115"/>
        <v>0</v>
      </c>
      <c r="AG190" s="37">
        <f t="shared" si="96"/>
        <v>0</v>
      </c>
      <c r="AH190" s="36">
        <f t="shared" si="122"/>
        <v>0</v>
      </c>
      <c r="AI190" s="36">
        <f t="shared" si="123"/>
        <v>0</v>
      </c>
      <c r="AJ190" s="39">
        <f t="shared" si="124"/>
        <v>0</v>
      </c>
      <c r="AL190" s="38">
        <f t="shared" si="141"/>
        <v>81</v>
      </c>
      <c r="AM190" s="35" t="str">
        <f t="shared" si="125"/>
        <v>0</v>
      </c>
      <c r="AN190" s="36">
        <f t="shared" si="126"/>
        <v>0</v>
      </c>
      <c r="AO190" s="36">
        <f t="shared" si="116"/>
        <v>0</v>
      </c>
      <c r="AP190" s="37">
        <f t="shared" si="127"/>
        <v>0</v>
      </c>
      <c r="AQ190" s="36">
        <f t="shared" si="128"/>
        <v>0</v>
      </c>
      <c r="AR190" s="36">
        <f t="shared" si="129"/>
        <v>0</v>
      </c>
      <c r="AS190" s="39">
        <f t="shared" si="130"/>
        <v>0</v>
      </c>
      <c r="AU190" s="38">
        <f t="shared" si="142"/>
        <v>81</v>
      </c>
      <c r="AV190" s="35" t="str">
        <f t="shared" si="131"/>
        <v>0</v>
      </c>
      <c r="AW190" s="36">
        <f t="shared" si="132"/>
        <v>0</v>
      </c>
      <c r="AX190" s="36">
        <f t="shared" si="117"/>
        <v>0</v>
      </c>
      <c r="AY190" s="37">
        <f t="shared" si="133"/>
        <v>0</v>
      </c>
      <c r="AZ190" s="36">
        <f t="shared" si="134"/>
        <v>0</v>
      </c>
      <c r="BA190" s="36">
        <f t="shared" si="135"/>
        <v>0</v>
      </c>
      <c r="BB190" s="39">
        <f t="shared" si="136"/>
        <v>0</v>
      </c>
    </row>
    <row r="191" spans="2:54" x14ac:dyDescent="0.2">
      <c r="B191" s="65">
        <v>82</v>
      </c>
      <c r="C191" s="35" t="str">
        <f t="shared" si="102"/>
        <v>0</v>
      </c>
      <c r="D191" s="36">
        <f t="shared" si="103"/>
        <v>0</v>
      </c>
      <c r="E191" s="36">
        <f t="shared" si="97"/>
        <v>0</v>
      </c>
      <c r="F191" s="36">
        <f t="shared" si="104"/>
        <v>0</v>
      </c>
      <c r="G191" s="36">
        <f t="shared" si="137"/>
        <v>0</v>
      </c>
      <c r="H191" s="36">
        <f t="shared" si="98"/>
        <v>0</v>
      </c>
      <c r="I191" s="39">
        <f t="shared" si="99"/>
        <v>0</v>
      </c>
      <c r="K191" s="38">
        <f t="shared" si="138"/>
        <v>82</v>
      </c>
      <c r="L191" s="35" t="str">
        <f t="shared" si="105"/>
        <v>0</v>
      </c>
      <c r="M191" s="36">
        <f t="shared" si="106"/>
        <v>0</v>
      </c>
      <c r="N191" s="36">
        <f t="shared" si="100"/>
        <v>0</v>
      </c>
      <c r="O191" s="36">
        <f t="shared" si="107"/>
        <v>0</v>
      </c>
      <c r="P191" s="36">
        <f t="shared" si="118"/>
        <v>0</v>
      </c>
      <c r="Q191" s="36">
        <f t="shared" si="108"/>
        <v>0</v>
      </c>
      <c r="R191" s="39">
        <f t="shared" si="109"/>
        <v>0</v>
      </c>
      <c r="T191" s="38">
        <f t="shared" si="139"/>
        <v>82</v>
      </c>
      <c r="U191" s="35" t="str">
        <f t="shared" si="110"/>
        <v>0</v>
      </c>
      <c r="V191" s="36">
        <f t="shared" si="111"/>
        <v>0</v>
      </c>
      <c r="W191" s="36">
        <f t="shared" si="101"/>
        <v>0</v>
      </c>
      <c r="X191" s="37">
        <f t="shared" si="112"/>
        <v>0</v>
      </c>
      <c r="Y191" s="36">
        <f t="shared" si="119"/>
        <v>0</v>
      </c>
      <c r="Z191" s="36">
        <f t="shared" si="113"/>
        <v>0</v>
      </c>
      <c r="AA191" s="39">
        <f t="shared" si="114"/>
        <v>0</v>
      </c>
      <c r="AB191" s="41"/>
      <c r="AC191" s="38">
        <f t="shared" si="140"/>
        <v>82</v>
      </c>
      <c r="AD191" s="35" t="str">
        <f t="shared" si="120"/>
        <v>0</v>
      </c>
      <c r="AE191" s="36">
        <f t="shared" si="121"/>
        <v>0</v>
      </c>
      <c r="AF191" s="36">
        <f t="shared" si="115"/>
        <v>0</v>
      </c>
      <c r="AG191" s="37">
        <f t="shared" si="96"/>
        <v>0</v>
      </c>
      <c r="AH191" s="36">
        <f t="shared" si="122"/>
        <v>0</v>
      </c>
      <c r="AI191" s="36">
        <f t="shared" si="123"/>
        <v>0</v>
      </c>
      <c r="AJ191" s="39">
        <f t="shared" si="124"/>
        <v>0</v>
      </c>
      <c r="AL191" s="38">
        <f t="shared" si="141"/>
        <v>82</v>
      </c>
      <c r="AM191" s="35" t="str">
        <f t="shared" si="125"/>
        <v>0</v>
      </c>
      <c r="AN191" s="36">
        <f t="shared" si="126"/>
        <v>0</v>
      </c>
      <c r="AO191" s="36">
        <f t="shared" si="116"/>
        <v>0</v>
      </c>
      <c r="AP191" s="37">
        <f t="shared" si="127"/>
        <v>0</v>
      </c>
      <c r="AQ191" s="36">
        <f t="shared" si="128"/>
        <v>0</v>
      </c>
      <c r="AR191" s="36">
        <f t="shared" si="129"/>
        <v>0</v>
      </c>
      <c r="AS191" s="39">
        <f t="shared" si="130"/>
        <v>0</v>
      </c>
      <c r="AU191" s="38">
        <f t="shared" si="142"/>
        <v>82</v>
      </c>
      <c r="AV191" s="35" t="str">
        <f t="shared" si="131"/>
        <v>0</v>
      </c>
      <c r="AW191" s="36">
        <f t="shared" si="132"/>
        <v>0</v>
      </c>
      <c r="AX191" s="36">
        <f t="shared" si="117"/>
        <v>0</v>
      </c>
      <c r="AY191" s="37">
        <f t="shared" si="133"/>
        <v>0</v>
      </c>
      <c r="AZ191" s="36">
        <f t="shared" si="134"/>
        <v>0</v>
      </c>
      <c r="BA191" s="36">
        <f t="shared" si="135"/>
        <v>0</v>
      </c>
      <c r="BB191" s="39">
        <f t="shared" si="136"/>
        <v>0</v>
      </c>
    </row>
    <row r="192" spans="2:54" x14ac:dyDescent="0.2">
      <c r="B192" s="65">
        <v>83</v>
      </c>
      <c r="C192" s="35" t="str">
        <f t="shared" si="102"/>
        <v>0</v>
      </c>
      <c r="D192" s="36">
        <f t="shared" si="103"/>
        <v>0</v>
      </c>
      <c r="E192" s="36">
        <f t="shared" si="97"/>
        <v>0</v>
      </c>
      <c r="F192" s="36">
        <f t="shared" si="104"/>
        <v>0</v>
      </c>
      <c r="G192" s="36">
        <f t="shared" si="137"/>
        <v>0</v>
      </c>
      <c r="H192" s="36">
        <f t="shared" si="98"/>
        <v>0</v>
      </c>
      <c r="I192" s="39">
        <f t="shared" si="99"/>
        <v>0</v>
      </c>
      <c r="K192" s="38">
        <f t="shared" si="138"/>
        <v>83</v>
      </c>
      <c r="L192" s="35" t="str">
        <f t="shared" si="105"/>
        <v>0</v>
      </c>
      <c r="M192" s="36">
        <f t="shared" si="106"/>
        <v>0</v>
      </c>
      <c r="N192" s="36">
        <f t="shared" si="100"/>
        <v>0</v>
      </c>
      <c r="O192" s="36">
        <f t="shared" si="107"/>
        <v>0</v>
      </c>
      <c r="P192" s="36">
        <f t="shared" si="118"/>
        <v>0</v>
      </c>
      <c r="Q192" s="36">
        <f t="shared" si="108"/>
        <v>0</v>
      </c>
      <c r="R192" s="39">
        <f t="shared" si="109"/>
        <v>0</v>
      </c>
      <c r="T192" s="38">
        <f t="shared" si="139"/>
        <v>83</v>
      </c>
      <c r="U192" s="35" t="str">
        <f t="shared" si="110"/>
        <v>0</v>
      </c>
      <c r="V192" s="36">
        <f t="shared" si="111"/>
        <v>0</v>
      </c>
      <c r="W192" s="36">
        <f t="shared" si="101"/>
        <v>0</v>
      </c>
      <c r="X192" s="37">
        <f t="shared" si="112"/>
        <v>0</v>
      </c>
      <c r="Y192" s="36">
        <f t="shared" si="119"/>
        <v>0</v>
      </c>
      <c r="Z192" s="36">
        <f t="shared" si="113"/>
        <v>0</v>
      </c>
      <c r="AA192" s="39">
        <f t="shared" si="114"/>
        <v>0</v>
      </c>
      <c r="AB192" s="41"/>
      <c r="AC192" s="38">
        <f t="shared" si="140"/>
        <v>83</v>
      </c>
      <c r="AD192" s="35" t="str">
        <f t="shared" si="120"/>
        <v>0</v>
      </c>
      <c r="AE192" s="36">
        <f t="shared" si="121"/>
        <v>0</v>
      </c>
      <c r="AF192" s="36">
        <f t="shared" si="115"/>
        <v>0</v>
      </c>
      <c r="AG192" s="37">
        <f t="shared" si="96"/>
        <v>0</v>
      </c>
      <c r="AH192" s="36">
        <f t="shared" si="122"/>
        <v>0</v>
      </c>
      <c r="AI192" s="36">
        <f t="shared" si="123"/>
        <v>0</v>
      </c>
      <c r="AJ192" s="39">
        <f t="shared" si="124"/>
        <v>0</v>
      </c>
      <c r="AL192" s="38">
        <f t="shared" si="141"/>
        <v>83</v>
      </c>
      <c r="AM192" s="35" t="str">
        <f t="shared" si="125"/>
        <v>0</v>
      </c>
      <c r="AN192" s="36">
        <f t="shared" si="126"/>
        <v>0</v>
      </c>
      <c r="AO192" s="36">
        <f t="shared" si="116"/>
        <v>0</v>
      </c>
      <c r="AP192" s="37">
        <f t="shared" si="127"/>
        <v>0</v>
      </c>
      <c r="AQ192" s="36">
        <f t="shared" si="128"/>
        <v>0</v>
      </c>
      <c r="AR192" s="36">
        <f t="shared" si="129"/>
        <v>0</v>
      </c>
      <c r="AS192" s="39">
        <f t="shared" si="130"/>
        <v>0</v>
      </c>
      <c r="AU192" s="38">
        <f t="shared" si="142"/>
        <v>83</v>
      </c>
      <c r="AV192" s="35" t="str">
        <f t="shared" si="131"/>
        <v>0</v>
      </c>
      <c r="AW192" s="36">
        <f t="shared" si="132"/>
        <v>0</v>
      </c>
      <c r="AX192" s="36">
        <f t="shared" si="117"/>
        <v>0</v>
      </c>
      <c r="AY192" s="37">
        <f t="shared" si="133"/>
        <v>0</v>
      </c>
      <c r="AZ192" s="36">
        <f t="shared" si="134"/>
        <v>0</v>
      </c>
      <c r="BA192" s="36">
        <f t="shared" si="135"/>
        <v>0</v>
      </c>
      <c r="BB192" s="39">
        <f t="shared" si="136"/>
        <v>0</v>
      </c>
    </row>
    <row r="193" spans="2:54" x14ac:dyDescent="0.2">
      <c r="B193" s="65">
        <v>84</v>
      </c>
      <c r="C193" s="35" t="str">
        <f t="shared" si="102"/>
        <v>0</v>
      </c>
      <c r="D193" s="36">
        <f t="shared" si="103"/>
        <v>0</v>
      </c>
      <c r="E193" s="36">
        <f t="shared" si="97"/>
        <v>0</v>
      </c>
      <c r="F193" s="36">
        <f t="shared" si="104"/>
        <v>0</v>
      </c>
      <c r="G193" s="36">
        <f t="shared" si="137"/>
        <v>0</v>
      </c>
      <c r="H193" s="36">
        <f t="shared" si="98"/>
        <v>0</v>
      </c>
      <c r="I193" s="39">
        <f t="shared" si="99"/>
        <v>0</v>
      </c>
      <c r="K193" s="38">
        <f t="shared" si="138"/>
        <v>84</v>
      </c>
      <c r="L193" s="35" t="str">
        <f t="shared" si="105"/>
        <v>0</v>
      </c>
      <c r="M193" s="36">
        <f t="shared" si="106"/>
        <v>0</v>
      </c>
      <c r="N193" s="36">
        <f t="shared" si="100"/>
        <v>0</v>
      </c>
      <c r="O193" s="36">
        <f t="shared" si="107"/>
        <v>0</v>
      </c>
      <c r="P193" s="36">
        <f t="shared" si="118"/>
        <v>0</v>
      </c>
      <c r="Q193" s="36">
        <f t="shared" si="108"/>
        <v>0</v>
      </c>
      <c r="R193" s="39">
        <f t="shared" si="109"/>
        <v>0</v>
      </c>
      <c r="T193" s="38">
        <f t="shared" si="139"/>
        <v>84</v>
      </c>
      <c r="U193" s="35" t="str">
        <f t="shared" si="110"/>
        <v>0</v>
      </c>
      <c r="V193" s="36">
        <f t="shared" si="111"/>
        <v>0</v>
      </c>
      <c r="W193" s="36">
        <f t="shared" si="101"/>
        <v>0</v>
      </c>
      <c r="X193" s="37">
        <f t="shared" si="112"/>
        <v>0</v>
      </c>
      <c r="Y193" s="36">
        <f t="shared" si="119"/>
        <v>0</v>
      </c>
      <c r="Z193" s="36">
        <f t="shared" si="113"/>
        <v>0</v>
      </c>
      <c r="AA193" s="39">
        <f t="shared" si="114"/>
        <v>0</v>
      </c>
      <c r="AB193" s="41"/>
      <c r="AC193" s="38">
        <f t="shared" si="140"/>
        <v>84</v>
      </c>
      <c r="AD193" s="35" t="str">
        <f t="shared" si="120"/>
        <v>0</v>
      </c>
      <c r="AE193" s="36">
        <f t="shared" si="121"/>
        <v>0</v>
      </c>
      <c r="AF193" s="36">
        <f t="shared" si="115"/>
        <v>0</v>
      </c>
      <c r="AG193" s="37">
        <f t="shared" si="96"/>
        <v>0</v>
      </c>
      <c r="AH193" s="36">
        <f t="shared" si="122"/>
        <v>0</v>
      </c>
      <c r="AI193" s="36">
        <f t="shared" si="123"/>
        <v>0</v>
      </c>
      <c r="AJ193" s="39">
        <f t="shared" si="124"/>
        <v>0</v>
      </c>
      <c r="AL193" s="38">
        <f t="shared" si="141"/>
        <v>84</v>
      </c>
      <c r="AM193" s="35" t="str">
        <f t="shared" si="125"/>
        <v>0</v>
      </c>
      <c r="AN193" s="36">
        <f t="shared" si="126"/>
        <v>0</v>
      </c>
      <c r="AO193" s="36">
        <f t="shared" si="116"/>
        <v>0</v>
      </c>
      <c r="AP193" s="37">
        <f t="shared" si="127"/>
        <v>0</v>
      </c>
      <c r="AQ193" s="36">
        <f t="shared" si="128"/>
        <v>0</v>
      </c>
      <c r="AR193" s="36">
        <f t="shared" si="129"/>
        <v>0</v>
      </c>
      <c r="AS193" s="39">
        <f t="shared" si="130"/>
        <v>0</v>
      </c>
      <c r="AU193" s="38">
        <f t="shared" si="142"/>
        <v>84</v>
      </c>
      <c r="AV193" s="35" t="str">
        <f t="shared" si="131"/>
        <v>0</v>
      </c>
      <c r="AW193" s="36">
        <f t="shared" si="132"/>
        <v>0</v>
      </c>
      <c r="AX193" s="36">
        <f t="shared" si="117"/>
        <v>0</v>
      </c>
      <c r="AY193" s="37">
        <f t="shared" si="133"/>
        <v>0</v>
      </c>
      <c r="AZ193" s="36">
        <f t="shared" si="134"/>
        <v>0</v>
      </c>
      <c r="BA193" s="36">
        <f t="shared" si="135"/>
        <v>0</v>
      </c>
      <c r="BB193" s="39">
        <f t="shared" si="136"/>
        <v>0</v>
      </c>
    </row>
    <row r="194" spans="2:54" x14ac:dyDescent="0.2">
      <c r="B194" s="65">
        <v>85</v>
      </c>
      <c r="C194" s="35" t="str">
        <f t="shared" si="102"/>
        <v>0</v>
      </c>
      <c r="D194" s="36">
        <f t="shared" si="103"/>
        <v>0</v>
      </c>
      <c r="E194" s="36">
        <f t="shared" si="97"/>
        <v>0</v>
      </c>
      <c r="F194" s="36">
        <f t="shared" si="104"/>
        <v>0</v>
      </c>
      <c r="G194" s="36">
        <f t="shared" si="137"/>
        <v>0</v>
      </c>
      <c r="H194" s="36">
        <f t="shared" si="98"/>
        <v>0</v>
      </c>
      <c r="I194" s="39">
        <f t="shared" si="99"/>
        <v>0</v>
      </c>
      <c r="K194" s="38">
        <f t="shared" si="138"/>
        <v>85</v>
      </c>
      <c r="L194" s="35" t="str">
        <f t="shared" si="105"/>
        <v>0</v>
      </c>
      <c r="M194" s="36">
        <f t="shared" si="106"/>
        <v>0</v>
      </c>
      <c r="N194" s="36">
        <f t="shared" si="100"/>
        <v>0</v>
      </c>
      <c r="O194" s="36">
        <f t="shared" si="107"/>
        <v>0</v>
      </c>
      <c r="P194" s="36">
        <f t="shared" si="118"/>
        <v>0</v>
      </c>
      <c r="Q194" s="36">
        <f t="shared" si="108"/>
        <v>0</v>
      </c>
      <c r="R194" s="39">
        <f t="shared" si="109"/>
        <v>0</v>
      </c>
      <c r="T194" s="38">
        <f t="shared" si="139"/>
        <v>85</v>
      </c>
      <c r="U194" s="35" t="str">
        <f t="shared" si="110"/>
        <v>0</v>
      </c>
      <c r="V194" s="36">
        <f t="shared" si="111"/>
        <v>0</v>
      </c>
      <c r="W194" s="36">
        <f t="shared" si="101"/>
        <v>0</v>
      </c>
      <c r="X194" s="37">
        <f t="shared" si="112"/>
        <v>0</v>
      </c>
      <c r="Y194" s="36">
        <f t="shared" si="119"/>
        <v>0</v>
      </c>
      <c r="Z194" s="36">
        <f t="shared" si="113"/>
        <v>0</v>
      </c>
      <c r="AA194" s="39">
        <f t="shared" si="114"/>
        <v>0</v>
      </c>
      <c r="AB194" s="41"/>
      <c r="AC194" s="38">
        <f t="shared" si="140"/>
        <v>85</v>
      </c>
      <c r="AD194" s="35" t="str">
        <f t="shared" si="120"/>
        <v>0</v>
      </c>
      <c r="AE194" s="36">
        <f t="shared" si="121"/>
        <v>0</v>
      </c>
      <c r="AF194" s="36">
        <f t="shared" si="115"/>
        <v>0</v>
      </c>
      <c r="AG194" s="37">
        <f t="shared" si="96"/>
        <v>0</v>
      </c>
      <c r="AH194" s="36">
        <f t="shared" si="122"/>
        <v>0</v>
      </c>
      <c r="AI194" s="36">
        <f t="shared" si="123"/>
        <v>0</v>
      </c>
      <c r="AJ194" s="39">
        <f t="shared" si="124"/>
        <v>0</v>
      </c>
      <c r="AL194" s="38">
        <f t="shared" si="141"/>
        <v>85</v>
      </c>
      <c r="AM194" s="35" t="str">
        <f t="shared" si="125"/>
        <v>0</v>
      </c>
      <c r="AN194" s="36">
        <f t="shared" si="126"/>
        <v>0</v>
      </c>
      <c r="AO194" s="36">
        <f t="shared" si="116"/>
        <v>0</v>
      </c>
      <c r="AP194" s="37">
        <f t="shared" si="127"/>
        <v>0</v>
      </c>
      <c r="AQ194" s="36">
        <f t="shared" si="128"/>
        <v>0</v>
      </c>
      <c r="AR194" s="36">
        <f t="shared" si="129"/>
        <v>0</v>
      </c>
      <c r="AS194" s="39">
        <f t="shared" si="130"/>
        <v>0</v>
      </c>
      <c r="AU194" s="38">
        <f t="shared" si="142"/>
        <v>85</v>
      </c>
      <c r="AV194" s="35" t="str">
        <f t="shared" si="131"/>
        <v>0</v>
      </c>
      <c r="AW194" s="36">
        <f t="shared" si="132"/>
        <v>0</v>
      </c>
      <c r="AX194" s="36">
        <f t="shared" si="117"/>
        <v>0</v>
      </c>
      <c r="AY194" s="37">
        <f t="shared" si="133"/>
        <v>0</v>
      </c>
      <c r="AZ194" s="36">
        <f t="shared" si="134"/>
        <v>0</v>
      </c>
      <c r="BA194" s="36">
        <f t="shared" si="135"/>
        <v>0</v>
      </c>
      <c r="BB194" s="39">
        <f t="shared" si="136"/>
        <v>0</v>
      </c>
    </row>
    <row r="195" spans="2:54" x14ac:dyDescent="0.2">
      <c r="B195" s="65">
        <v>86</v>
      </c>
      <c r="C195" s="35" t="str">
        <f t="shared" si="102"/>
        <v>0</v>
      </c>
      <c r="D195" s="36">
        <f t="shared" si="103"/>
        <v>0</v>
      </c>
      <c r="E195" s="36">
        <f t="shared" si="97"/>
        <v>0</v>
      </c>
      <c r="F195" s="36">
        <f t="shared" si="104"/>
        <v>0</v>
      </c>
      <c r="G195" s="36">
        <f t="shared" si="137"/>
        <v>0</v>
      </c>
      <c r="H195" s="36">
        <f t="shared" si="98"/>
        <v>0</v>
      </c>
      <c r="I195" s="39">
        <f t="shared" si="99"/>
        <v>0</v>
      </c>
      <c r="K195" s="38">
        <f t="shared" si="138"/>
        <v>86</v>
      </c>
      <c r="L195" s="35" t="str">
        <f t="shared" si="105"/>
        <v>0</v>
      </c>
      <c r="M195" s="36">
        <f t="shared" si="106"/>
        <v>0</v>
      </c>
      <c r="N195" s="36">
        <f t="shared" si="100"/>
        <v>0</v>
      </c>
      <c r="O195" s="36">
        <f t="shared" si="107"/>
        <v>0</v>
      </c>
      <c r="P195" s="36">
        <f t="shared" si="118"/>
        <v>0</v>
      </c>
      <c r="Q195" s="36">
        <f t="shared" si="108"/>
        <v>0</v>
      </c>
      <c r="R195" s="39">
        <f t="shared" si="109"/>
        <v>0</v>
      </c>
      <c r="T195" s="38">
        <f t="shared" si="139"/>
        <v>86</v>
      </c>
      <c r="U195" s="35" t="str">
        <f t="shared" si="110"/>
        <v>0</v>
      </c>
      <c r="V195" s="36">
        <f t="shared" si="111"/>
        <v>0</v>
      </c>
      <c r="W195" s="36">
        <f t="shared" si="101"/>
        <v>0</v>
      </c>
      <c r="X195" s="37">
        <f t="shared" si="112"/>
        <v>0</v>
      </c>
      <c r="Y195" s="36">
        <f t="shared" si="119"/>
        <v>0</v>
      </c>
      <c r="Z195" s="36">
        <f t="shared" si="113"/>
        <v>0</v>
      </c>
      <c r="AA195" s="39">
        <f t="shared" si="114"/>
        <v>0</v>
      </c>
      <c r="AB195" s="41"/>
      <c r="AC195" s="38">
        <f t="shared" si="140"/>
        <v>86</v>
      </c>
      <c r="AD195" s="35" t="str">
        <f t="shared" si="120"/>
        <v>0</v>
      </c>
      <c r="AE195" s="36">
        <f t="shared" si="121"/>
        <v>0</v>
      </c>
      <c r="AF195" s="36">
        <f t="shared" si="115"/>
        <v>0</v>
      </c>
      <c r="AG195" s="37">
        <f t="shared" si="96"/>
        <v>0</v>
      </c>
      <c r="AH195" s="36">
        <f t="shared" si="122"/>
        <v>0</v>
      </c>
      <c r="AI195" s="36">
        <f t="shared" si="123"/>
        <v>0</v>
      </c>
      <c r="AJ195" s="39">
        <f t="shared" si="124"/>
        <v>0</v>
      </c>
      <c r="AL195" s="38">
        <f t="shared" si="141"/>
        <v>86</v>
      </c>
      <c r="AM195" s="35" t="str">
        <f t="shared" si="125"/>
        <v>0</v>
      </c>
      <c r="AN195" s="36">
        <f t="shared" si="126"/>
        <v>0</v>
      </c>
      <c r="AO195" s="36">
        <f t="shared" si="116"/>
        <v>0</v>
      </c>
      <c r="AP195" s="37">
        <f t="shared" si="127"/>
        <v>0</v>
      </c>
      <c r="AQ195" s="36">
        <f t="shared" si="128"/>
        <v>0</v>
      </c>
      <c r="AR195" s="36">
        <f t="shared" si="129"/>
        <v>0</v>
      </c>
      <c r="AS195" s="39">
        <f t="shared" si="130"/>
        <v>0</v>
      </c>
      <c r="AU195" s="38">
        <f t="shared" si="142"/>
        <v>86</v>
      </c>
      <c r="AV195" s="35" t="str">
        <f t="shared" si="131"/>
        <v>0</v>
      </c>
      <c r="AW195" s="36">
        <f t="shared" si="132"/>
        <v>0</v>
      </c>
      <c r="AX195" s="36">
        <f t="shared" si="117"/>
        <v>0</v>
      </c>
      <c r="AY195" s="37">
        <f t="shared" si="133"/>
        <v>0</v>
      </c>
      <c r="AZ195" s="36">
        <f t="shared" si="134"/>
        <v>0</v>
      </c>
      <c r="BA195" s="36">
        <f t="shared" si="135"/>
        <v>0</v>
      </c>
      <c r="BB195" s="39">
        <f t="shared" si="136"/>
        <v>0</v>
      </c>
    </row>
    <row r="196" spans="2:54" x14ac:dyDescent="0.2">
      <c r="B196" s="65">
        <v>87</v>
      </c>
      <c r="C196" s="35" t="str">
        <f t="shared" si="102"/>
        <v>0</v>
      </c>
      <c r="D196" s="36">
        <f t="shared" si="103"/>
        <v>0</v>
      </c>
      <c r="E196" s="36">
        <f t="shared" si="97"/>
        <v>0</v>
      </c>
      <c r="F196" s="36">
        <f t="shared" si="104"/>
        <v>0</v>
      </c>
      <c r="G196" s="36">
        <f t="shared" si="137"/>
        <v>0</v>
      </c>
      <c r="H196" s="36">
        <f t="shared" si="98"/>
        <v>0</v>
      </c>
      <c r="I196" s="39">
        <f t="shared" si="99"/>
        <v>0</v>
      </c>
      <c r="K196" s="38">
        <f t="shared" si="138"/>
        <v>87</v>
      </c>
      <c r="L196" s="35" t="str">
        <f t="shared" si="105"/>
        <v>0</v>
      </c>
      <c r="M196" s="36">
        <f t="shared" si="106"/>
        <v>0</v>
      </c>
      <c r="N196" s="36">
        <f t="shared" si="100"/>
        <v>0</v>
      </c>
      <c r="O196" s="36">
        <f t="shared" si="107"/>
        <v>0</v>
      </c>
      <c r="P196" s="36">
        <f t="shared" si="118"/>
        <v>0</v>
      </c>
      <c r="Q196" s="36">
        <f t="shared" si="108"/>
        <v>0</v>
      </c>
      <c r="R196" s="39">
        <f t="shared" si="109"/>
        <v>0</v>
      </c>
      <c r="T196" s="38">
        <f t="shared" si="139"/>
        <v>87</v>
      </c>
      <c r="U196" s="35" t="str">
        <f t="shared" si="110"/>
        <v>0</v>
      </c>
      <c r="V196" s="36">
        <f t="shared" si="111"/>
        <v>0</v>
      </c>
      <c r="W196" s="36">
        <f t="shared" si="101"/>
        <v>0</v>
      </c>
      <c r="X196" s="37">
        <f t="shared" si="112"/>
        <v>0</v>
      </c>
      <c r="Y196" s="36">
        <f t="shared" si="119"/>
        <v>0</v>
      </c>
      <c r="Z196" s="36">
        <f t="shared" si="113"/>
        <v>0</v>
      </c>
      <c r="AA196" s="39">
        <f t="shared" si="114"/>
        <v>0</v>
      </c>
      <c r="AB196" s="41"/>
      <c r="AC196" s="38">
        <f t="shared" si="140"/>
        <v>87</v>
      </c>
      <c r="AD196" s="35" t="str">
        <f t="shared" si="120"/>
        <v>0</v>
      </c>
      <c r="AE196" s="36">
        <f t="shared" si="121"/>
        <v>0</v>
      </c>
      <c r="AF196" s="36">
        <f t="shared" si="115"/>
        <v>0</v>
      </c>
      <c r="AG196" s="37">
        <f t="shared" si="96"/>
        <v>0</v>
      </c>
      <c r="AH196" s="36">
        <f t="shared" si="122"/>
        <v>0</v>
      </c>
      <c r="AI196" s="36">
        <f t="shared" si="123"/>
        <v>0</v>
      </c>
      <c r="AJ196" s="39">
        <f t="shared" si="124"/>
        <v>0</v>
      </c>
      <c r="AL196" s="38">
        <f t="shared" si="141"/>
        <v>87</v>
      </c>
      <c r="AM196" s="35" t="str">
        <f t="shared" si="125"/>
        <v>0</v>
      </c>
      <c r="AN196" s="36">
        <f t="shared" si="126"/>
        <v>0</v>
      </c>
      <c r="AO196" s="36">
        <f t="shared" si="116"/>
        <v>0</v>
      </c>
      <c r="AP196" s="37">
        <f t="shared" si="127"/>
        <v>0</v>
      </c>
      <c r="AQ196" s="36">
        <f t="shared" si="128"/>
        <v>0</v>
      </c>
      <c r="AR196" s="36">
        <f t="shared" si="129"/>
        <v>0</v>
      </c>
      <c r="AS196" s="39">
        <f t="shared" si="130"/>
        <v>0</v>
      </c>
      <c r="AU196" s="38">
        <f t="shared" si="142"/>
        <v>87</v>
      </c>
      <c r="AV196" s="35" t="str">
        <f t="shared" si="131"/>
        <v>0</v>
      </c>
      <c r="AW196" s="36">
        <f t="shared" si="132"/>
        <v>0</v>
      </c>
      <c r="AX196" s="36">
        <f t="shared" si="117"/>
        <v>0</v>
      </c>
      <c r="AY196" s="37">
        <f t="shared" si="133"/>
        <v>0</v>
      </c>
      <c r="AZ196" s="36">
        <f t="shared" si="134"/>
        <v>0</v>
      </c>
      <c r="BA196" s="36">
        <f t="shared" si="135"/>
        <v>0</v>
      </c>
      <c r="BB196" s="39">
        <f t="shared" si="136"/>
        <v>0</v>
      </c>
    </row>
    <row r="197" spans="2:54" x14ac:dyDescent="0.2">
      <c r="B197" s="65">
        <v>88</v>
      </c>
      <c r="C197" s="35" t="str">
        <f t="shared" si="102"/>
        <v>0</v>
      </c>
      <c r="D197" s="36">
        <f t="shared" si="103"/>
        <v>0</v>
      </c>
      <c r="E197" s="36">
        <f t="shared" si="97"/>
        <v>0</v>
      </c>
      <c r="F197" s="36">
        <f t="shared" si="104"/>
        <v>0</v>
      </c>
      <c r="G197" s="36">
        <f t="shared" si="137"/>
        <v>0</v>
      </c>
      <c r="H197" s="36">
        <f t="shared" si="98"/>
        <v>0</v>
      </c>
      <c r="I197" s="39">
        <f t="shared" si="99"/>
        <v>0</v>
      </c>
      <c r="K197" s="38">
        <f t="shared" si="138"/>
        <v>88</v>
      </c>
      <c r="L197" s="35" t="str">
        <f t="shared" si="105"/>
        <v>0</v>
      </c>
      <c r="M197" s="36">
        <f t="shared" si="106"/>
        <v>0</v>
      </c>
      <c r="N197" s="36">
        <f t="shared" si="100"/>
        <v>0</v>
      </c>
      <c r="O197" s="36">
        <f t="shared" si="107"/>
        <v>0</v>
      </c>
      <c r="P197" s="36">
        <f t="shared" si="118"/>
        <v>0</v>
      </c>
      <c r="Q197" s="36">
        <f t="shared" si="108"/>
        <v>0</v>
      </c>
      <c r="R197" s="39">
        <f t="shared" si="109"/>
        <v>0</v>
      </c>
      <c r="T197" s="38">
        <f t="shared" si="139"/>
        <v>88</v>
      </c>
      <c r="U197" s="35" t="str">
        <f t="shared" si="110"/>
        <v>0</v>
      </c>
      <c r="V197" s="36">
        <f t="shared" si="111"/>
        <v>0</v>
      </c>
      <c r="W197" s="36">
        <f t="shared" si="101"/>
        <v>0</v>
      </c>
      <c r="X197" s="37">
        <f t="shared" si="112"/>
        <v>0</v>
      </c>
      <c r="Y197" s="36">
        <f t="shared" si="119"/>
        <v>0</v>
      </c>
      <c r="Z197" s="36">
        <f t="shared" si="113"/>
        <v>0</v>
      </c>
      <c r="AA197" s="39">
        <f t="shared" si="114"/>
        <v>0</v>
      </c>
      <c r="AB197" s="41"/>
      <c r="AC197" s="38">
        <f t="shared" si="140"/>
        <v>88</v>
      </c>
      <c r="AD197" s="35" t="str">
        <f t="shared" si="120"/>
        <v>0</v>
      </c>
      <c r="AE197" s="36">
        <f t="shared" si="121"/>
        <v>0</v>
      </c>
      <c r="AF197" s="36">
        <f t="shared" si="115"/>
        <v>0</v>
      </c>
      <c r="AG197" s="37">
        <f t="shared" si="96"/>
        <v>0</v>
      </c>
      <c r="AH197" s="36">
        <f t="shared" si="122"/>
        <v>0</v>
      </c>
      <c r="AI197" s="36">
        <f t="shared" si="123"/>
        <v>0</v>
      </c>
      <c r="AJ197" s="39">
        <f t="shared" si="124"/>
        <v>0</v>
      </c>
      <c r="AL197" s="38">
        <f t="shared" si="141"/>
        <v>88</v>
      </c>
      <c r="AM197" s="35" t="str">
        <f t="shared" si="125"/>
        <v>0</v>
      </c>
      <c r="AN197" s="36">
        <f t="shared" si="126"/>
        <v>0</v>
      </c>
      <c r="AO197" s="36">
        <f t="shared" si="116"/>
        <v>0</v>
      </c>
      <c r="AP197" s="37">
        <f t="shared" si="127"/>
        <v>0</v>
      </c>
      <c r="AQ197" s="36">
        <f t="shared" si="128"/>
        <v>0</v>
      </c>
      <c r="AR197" s="36">
        <f t="shared" si="129"/>
        <v>0</v>
      </c>
      <c r="AS197" s="39">
        <f t="shared" si="130"/>
        <v>0</v>
      </c>
      <c r="AU197" s="38">
        <f t="shared" si="142"/>
        <v>88</v>
      </c>
      <c r="AV197" s="35" t="str">
        <f t="shared" si="131"/>
        <v>0</v>
      </c>
      <c r="AW197" s="36">
        <f t="shared" si="132"/>
        <v>0</v>
      </c>
      <c r="AX197" s="36">
        <f t="shared" si="117"/>
        <v>0</v>
      </c>
      <c r="AY197" s="37">
        <f t="shared" si="133"/>
        <v>0</v>
      </c>
      <c r="AZ197" s="36">
        <f t="shared" si="134"/>
        <v>0</v>
      </c>
      <c r="BA197" s="36">
        <f t="shared" si="135"/>
        <v>0</v>
      </c>
      <c r="BB197" s="39">
        <f t="shared" si="136"/>
        <v>0</v>
      </c>
    </row>
    <row r="198" spans="2:54" x14ac:dyDescent="0.2">
      <c r="B198" s="65">
        <v>89</v>
      </c>
      <c r="C198" s="35" t="str">
        <f t="shared" si="102"/>
        <v>0</v>
      </c>
      <c r="D198" s="36">
        <f t="shared" si="103"/>
        <v>0</v>
      </c>
      <c r="E198" s="36">
        <f t="shared" si="97"/>
        <v>0</v>
      </c>
      <c r="F198" s="36">
        <f t="shared" si="104"/>
        <v>0</v>
      </c>
      <c r="G198" s="36">
        <f t="shared" si="137"/>
        <v>0</v>
      </c>
      <c r="H198" s="36">
        <f t="shared" si="98"/>
        <v>0</v>
      </c>
      <c r="I198" s="39">
        <f t="shared" si="99"/>
        <v>0</v>
      </c>
      <c r="K198" s="38">
        <f t="shared" si="138"/>
        <v>89</v>
      </c>
      <c r="L198" s="35" t="str">
        <f t="shared" si="105"/>
        <v>0</v>
      </c>
      <c r="M198" s="36">
        <f t="shared" si="106"/>
        <v>0</v>
      </c>
      <c r="N198" s="36">
        <f t="shared" si="100"/>
        <v>0</v>
      </c>
      <c r="O198" s="36">
        <f t="shared" si="107"/>
        <v>0</v>
      </c>
      <c r="P198" s="36">
        <f t="shared" si="118"/>
        <v>0</v>
      </c>
      <c r="Q198" s="36">
        <f t="shared" si="108"/>
        <v>0</v>
      </c>
      <c r="R198" s="39">
        <f t="shared" si="109"/>
        <v>0</v>
      </c>
      <c r="T198" s="38">
        <f t="shared" si="139"/>
        <v>89</v>
      </c>
      <c r="U198" s="35" t="str">
        <f t="shared" si="110"/>
        <v>0</v>
      </c>
      <c r="V198" s="36">
        <f t="shared" si="111"/>
        <v>0</v>
      </c>
      <c r="W198" s="36">
        <f t="shared" si="101"/>
        <v>0</v>
      </c>
      <c r="X198" s="37">
        <f t="shared" si="112"/>
        <v>0</v>
      </c>
      <c r="Y198" s="36">
        <f t="shared" si="119"/>
        <v>0</v>
      </c>
      <c r="Z198" s="36">
        <f t="shared" si="113"/>
        <v>0</v>
      </c>
      <c r="AA198" s="39">
        <f t="shared" si="114"/>
        <v>0</v>
      </c>
      <c r="AB198" s="41"/>
      <c r="AC198" s="38">
        <f t="shared" si="140"/>
        <v>89</v>
      </c>
      <c r="AD198" s="35" t="str">
        <f t="shared" si="120"/>
        <v>0</v>
      </c>
      <c r="AE198" s="36">
        <f t="shared" si="121"/>
        <v>0</v>
      </c>
      <c r="AF198" s="36">
        <f t="shared" si="115"/>
        <v>0</v>
      </c>
      <c r="AG198" s="37">
        <f t="shared" si="96"/>
        <v>0</v>
      </c>
      <c r="AH198" s="36">
        <f t="shared" si="122"/>
        <v>0</v>
      </c>
      <c r="AI198" s="36">
        <f t="shared" si="123"/>
        <v>0</v>
      </c>
      <c r="AJ198" s="39">
        <f t="shared" si="124"/>
        <v>0</v>
      </c>
      <c r="AL198" s="38">
        <f t="shared" si="141"/>
        <v>89</v>
      </c>
      <c r="AM198" s="35" t="str">
        <f t="shared" si="125"/>
        <v>0</v>
      </c>
      <c r="AN198" s="36">
        <f t="shared" si="126"/>
        <v>0</v>
      </c>
      <c r="AO198" s="36">
        <f t="shared" si="116"/>
        <v>0</v>
      </c>
      <c r="AP198" s="37">
        <f t="shared" si="127"/>
        <v>0</v>
      </c>
      <c r="AQ198" s="36">
        <f t="shared" si="128"/>
        <v>0</v>
      </c>
      <c r="AR198" s="36">
        <f t="shared" si="129"/>
        <v>0</v>
      </c>
      <c r="AS198" s="39">
        <f t="shared" si="130"/>
        <v>0</v>
      </c>
      <c r="AU198" s="38">
        <f t="shared" si="142"/>
        <v>89</v>
      </c>
      <c r="AV198" s="35" t="str">
        <f t="shared" si="131"/>
        <v>0</v>
      </c>
      <c r="AW198" s="36">
        <f t="shared" si="132"/>
        <v>0</v>
      </c>
      <c r="AX198" s="36">
        <f t="shared" si="117"/>
        <v>0</v>
      </c>
      <c r="AY198" s="37">
        <f t="shared" si="133"/>
        <v>0</v>
      </c>
      <c r="AZ198" s="36">
        <f t="shared" si="134"/>
        <v>0</v>
      </c>
      <c r="BA198" s="36">
        <f t="shared" si="135"/>
        <v>0</v>
      </c>
      <c r="BB198" s="39">
        <f t="shared" si="136"/>
        <v>0</v>
      </c>
    </row>
    <row r="199" spans="2:54" x14ac:dyDescent="0.2">
      <c r="B199" s="65">
        <v>90</v>
      </c>
      <c r="C199" s="35" t="str">
        <f t="shared" si="102"/>
        <v>0</v>
      </c>
      <c r="D199" s="36">
        <f t="shared" si="103"/>
        <v>0</v>
      </c>
      <c r="E199" s="36">
        <f t="shared" si="97"/>
        <v>0</v>
      </c>
      <c r="F199" s="36">
        <f t="shared" si="104"/>
        <v>0</v>
      </c>
      <c r="G199" s="36">
        <f t="shared" si="137"/>
        <v>0</v>
      </c>
      <c r="H199" s="36">
        <f t="shared" si="98"/>
        <v>0</v>
      </c>
      <c r="I199" s="39">
        <f t="shared" si="99"/>
        <v>0</v>
      </c>
      <c r="K199" s="38">
        <f t="shared" si="138"/>
        <v>90</v>
      </c>
      <c r="L199" s="35" t="str">
        <f t="shared" si="105"/>
        <v>0</v>
      </c>
      <c r="M199" s="36">
        <f t="shared" si="106"/>
        <v>0</v>
      </c>
      <c r="N199" s="36">
        <f t="shared" si="100"/>
        <v>0</v>
      </c>
      <c r="O199" s="36">
        <f t="shared" si="107"/>
        <v>0</v>
      </c>
      <c r="P199" s="36">
        <f t="shared" si="118"/>
        <v>0</v>
      </c>
      <c r="Q199" s="36">
        <f t="shared" si="108"/>
        <v>0</v>
      </c>
      <c r="R199" s="39">
        <f t="shared" si="109"/>
        <v>0</v>
      </c>
      <c r="T199" s="38">
        <f t="shared" si="139"/>
        <v>90</v>
      </c>
      <c r="U199" s="35" t="str">
        <f t="shared" si="110"/>
        <v>0</v>
      </c>
      <c r="V199" s="36">
        <f t="shared" si="111"/>
        <v>0</v>
      </c>
      <c r="W199" s="36">
        <f t="shared" si="101"/>
        <v>0</v>
      </c>
      <c r="X199" s="37">
        <f t="shared" si="112"/>
        <v>0</v>
      </c>
      <c r="Y199" s="36">
        <f t="shared" si="119"/>
        <v>0</v>
      </c>
      <c r="Z199" s="36">
        <f t="shared" si="113"/>
        <v>0</v>
      </c>
      <c r="AA199" s="39">
        <f t="shared" si="114"/>
        <v>0</v>
      </c>
      <c r="AB199" s="41"/>
      <c r="AC199" s="38">
        <f t="shared" si="140"/>
        <v>90</v>
      </c>
      <c r="AD199" s="35" t="str">
        <f t="shared" si="120"/>
        <v>0</v>
      </c>
      <c r="AE199" s="36">
        <f t="shared" si="121"/>
        <v>0</v>
      </c>
      <c r="AF199" s="36">
        <f t="shared" si="115"/>
        <v>0</v>
      </c>
      <c r="AG199" s="37">
        <f t="shared" si="96"/>
        <v>0</v>
      </c>
      <c r="AH199" s="36">
        <f t="shared" si="122"/>
        <v>0</v>
      </c>
      <c r="AI199" s="36">
        <f t="shared" si="123"/>
        <v>0</v>
      </c>
      <c r="AJ199" s="39">
        <f t="shared" si="124"/>
        <v>0</v>
      </c>
      <c r="AL199" s="38">
        <f t="shared" si="141"/>
        <v>90</v>
      </c>
      <c r="AM199" s="35" t="str">
        <f t="shared" si="125"/>
        <v>0</v>
      </c>
      <c r="AN199" s="36">
        <f t="shared" si="126"/>
        <v>0</v>
      </c>
      <c r="AO199" s="36">
        <f t="shared" si="116"/>
        <v>0</v>
      </c>
      <c r="AP199" s="37">
        <f t="shared" si="127"/>
        <v>0</v>
      </c>
      <c r="AQ199" s="36">
        <f t="shared" si="128"/>
        <v>0</v>
      </c>
      <c r="AR199" s="36">
        <f t="shared" si="129"/>
        <v>0</v>
      </c>
      <c r="AS199" s="39">
        <f t="shared" si="130"/>
        <v>0</v>
      </c>
      <c r="AU199" s="38">
        <f t="shared" si="142"/>
        <v>90</v>
      </c>
      <c r="AV199" s="35" t="str">
        <f t="shared" si="131"/>
        <v>0</v>
      </c>
      <c r="AW199" s="36">
        <f t="shared" si="132"/>
        <v>0</v>
      </c>
      <c r="AX199" s="36">
        <f t="shared" si="117"/>
        <v>0</v>
      </c>
      <c r="AY199" s="37">
        <f t="shared" si="133"/>
        <v>0</v>
      </c>
      <c r="AZ199" s="36">
        <f t="shared" si="134"/>
        <v>0</v>
      </c>
      <c r="BA199" s="36">
        <f t="shared" si="135"/>
        <v>0</v>
      </c>
      <c r="BB199" s="39">
        <f t="shared" si="136"/>
        <v>0</v>
      </c>
    </row>
    <row r="200" spans="2:54" x14ac:dyDescent="0.2">
      <c r="B200" s="65">
        <v>91</v>
      </c>
      <c r="C200" s="35" t="str">
        <f t="shared" si="102"/>
        <v>0</v>
      </c>
      <c r="D200" s="36">
        <f t="shared" si="103"/>
        <v>0</v>
      </c>
      <c r="E200" s="36">
        <f t="shared" si="97"/>
        <v>0</v>
      </c>
      <c r="F200" s="36">
        <f t="shared" si="104"/>
        <v>0</v>
      </c>
      <c r="G200" s="36">
        <f t="shared" si="137"/>
        <v>0</v>
      </c>
      <c r="H200" s="36">
        <f t="shared" si="98"/>
        <v>0</v>
      </c>
      <c r="I200" s="39">
        <f t="shared" si="99"/>
        <v>0</v>
      </c>
      <c r="K200" s="38">
        <f t="shared" si="138"/>
        <v>91</v>
      </c>
      <c r="L200" s="35" t="str">
        <f t="shared" si="105"/>
        <v>0</v>
      </c>
      <c r="M200" s="36">
        <f t="shared" si="106"/>
        <v>0</v>
      </c>
      <c r="N200" s="36">
        <f t="shared" si="100"/>
        <v>0</v>
      </c>
      <c r="O200" s="36">
        <f t="shared" si="107"/>
        <v>0</v>
      </c>
      <c r="P200" s="36">
        <f t="shared" si="118"/>
        <v>0</v>
      </c>
      <c r="Q200" s="36">
        <f t="shared" si="108"/>
        <v>0</v>
      </c>
      <c r="R200" s="39">
        <f t="shared" si="109"/>
        <v>0</v>
      </c>
      <c r="T200" s="38">
        <f t="shared" si="139"/>
        <v>91</v>
      </c>
      <c r="U200" s="35" t="str">
        <f t="shared" si="110"/>
        <v>0</v>
      </c>
      <c r="V200" s="36">
        <f t="shared" si="111"/>
        <v>0</v>
      </c>
      <c r="W200" s="36">
        <f t="shared" si="101"/>
        <v>0</v>
      </c>
      <c r="X200" s="37">
        <f t="shared" si="112"/>
        <v>0</v>
      </c>
      <c r="Y200" s="36">
        <f t="shared" si="119"/>
        <v>0</v>
      </c>
      <c r="Z200" s="36">
        <f t="shared" si="113"/>
        <v>0</v>
      </c>
      <c r="AA200" s="39">
        <f t="shared" si="114"/>
        <v>0</v>
      </c>
      <c r="AB200" s="41"/>
      <c r="AC200" s="38">
        <f t="shared" si="140"/>
        <v>91</v>
      </c>
      <c r="AD200" s="35" t="str">
        <f t="shared" si="120"/>
        <v>0</v>
      </c>
      <c r="AE200" s="36">
        <f t="shared" si="121"/>
        <v>0</v>
      </c>
      <c r="AF200" s="36">
        <f t="shared" si="115"/>
        <v>0</v>
      </c>
      <c r="AG200" s="37">
        <f t="shared" si="96"/>
        <v>0</v>
      </c>
      <c r="AH200" s="36">
        <f t="shared" si="122"/>
        <v>0</v>
      </c>
      <c r="AI200" s="36">
        <f t="shared" si="123"/>
        <v>0</v>
      </c>
      <c r="AJ200" s="39">
        <f t="shared" si="124"/>
        <v>0</v>
      </c>
      <c r="AL200" s="38">
        <f t="shared" si="141"/>
        <v>91</v>
      </c>
      <c r="AM200" s="35" t="str">
        <f t="shared" si="125"/>
        <v>0</v>
      </c>
      <c r="AN200" s="36">
        <f t="shared" si="126"/>
        <v>0</v>
      </c>
      <c r="AO200" s="36">
        <f t="shared" si="116"/>
        <v>0</v>
      </c>
      <c r="AP200" s="37">
        <f t="shared" si="127"/>
        <v>0</v>
      </c>
      <c r="AQ200" s="36">
        <f t="shared" si="128"/>
        <v>0</v>
      </c>
      <c r="AR200" s="36">
        <f t="shared" si="129"/>
        <v>0</v>
      </c>
      <c r="AS200" s="39">
        <f t="shared" si="130"/>
        <v>0</v>
      </c>
      <c r="AU200" s="38">
        <f t="shared" si="142"/>
        <v>91</v>
      </c>
      <c r="AV200" s="35" t="str">
        <f t="shared" si="131"/>
        <v>0</v>
      </c>
      <c r="AW200" s="36">
        <f t="shared" si="132"/>
        <v>0</v>
      </c>
      <c r="AX200" s="36">
        <f t="shared" si="117"/>
        <v>0</v>
      </c>
      <c r="AY200" s="37">
        <f t="shared" si="133"/>
        <v>0</v>
      </c>
      <c r="AZ200" s="36">
        <f t="shared" si="134"/>
        <v>0</v>
      </c>
      <c r="BA200" s="36">
        <f t="shared" si="135"/>
        <v>0</v>
      </c>
      <c r="BB200" s="39">
        <f t="shared" si="136"/>
        <v>0</v>
      </c>
    </row>
    <row r="201" spans="2:54" x14ac:dyDescent="0.2">
      <c r="B201" s="65">
        <v>92</v>
      </c>
      <c r="C201" s="35" t="str">
        <f t="shared" si="102"/>
        <v>0</v>
      </c>
      <c r="D201" s="36">
        <f t="shared" si="103"/>
        <v>0</v>
      </c>
      <c r="E201" s="36">
        <f t="shared" si="97"/>
        <v>0</v>
      </c>
      <c r="F201" s="36">
        <f t="shared" si="104"/>
        <v>0</v>
      </c>
      <c r="G201" s="36">
        <f t="shared" si="137"/>
        <v>0</v>
      </c>
      <c r="H201" s="36">
        <f t="shared" si="98"/>
        <v>0</v>
      </c>
      <c r="I201" s="39">
        <f t="shared" si="99"/>
        <v>0</v>
      </c>
      <c r="K201" s="38">
        <f t="shared" si="138"/>
        <v>92</v>
      </c>
      <c r="L201" s="35" t="str">
        <f t="shared" si="105"/>
        <v>0</v>
      </c>
      <c r="M201" s="36">
        <f t="shared" si="106"/>
        <v>0</v>
      </c>
      <c r="N201" s="36">
        <f t="shared" si="100"/>
        <v>0</v>
      </c>
      <c r="O201" s="36">
        <f t="shared" si="107"/>
        <v>0</v>
      </c>
      <c r="P201" s="36">
        <f t="shared" si="118"/>
        <v>0</v>
      </c>
      <c r="Q201" s="36">
        <f t="shared" si="108"/>
        <v>0</v>
      </c>
      <c r="R201" s="39">
        <f t="shared" si="109"/>
        <v>0</v>
      </c>
      <c r="T201" s="38">
        <f t="shared" si="139"/>
        <v>92</v>
      </c>
      <c r="U201" s="35" t="str">
        <f t="shared" si="110"/>
        <v>0</v>
      </c>
      <c r="V201" s="36">
        <f t="shared" si="111"/>
        <v>0</v>
      </c>
      <c r="W201" s="36">
        <f t="shared" si="101"/>
        <v>0</v>
      </c>
      <c r="X201" s="37">
        <f t="shared" si="112"/>
        <v>0</v>
      </c>
      <c r="Y201" s="36">
        <f t="shared" si="119"/>
        <v>0</v>
      </c>
      <c r="Z201" s="36">
        <f t="shared" si="113"/>
        <v>0</v>
      </c>
      <c r="AA201" s="39">
        <f t="shared" si="114"/>
        <v>0</v>
      </c>
      <c r="AB201" s="41"/>
      <c r="AC201" s="38">
        <f t="shared" si="140"/>
        <v>92</v>
      </c>
      <c r="AD201" s="35" t="str">
        <f t="shared" si="120"/>
        <v>0</v>
      </c>
      <c r="AE201" s="36">
        <f t="shared" si="121"/>
        <v>0</v>
      </c>
      <c r="AF201" s="36">
        <f t="shared" si="115"/>
        <v>0</v>
      </c>
      <c r="AG201" s="37">
        <f t="shared" si="96"/>
        <v>0</v>
      </c>
      <c r="AH201" s="36">
        <f t="shared" si="122"/>
        <v>0</v>
      </c>
      <c r="AI201" s="36">
        <f t="shared" si="123"/>
        <v>0</v>
      </c>
      <c r="AJ201" s="39">
        <f t="shared" si="124"/>
        <v>0</v>
      </c>
      <c r="AL201" s="38">
        <f t="shared" si="141"/>
        <v>92</v>
      </c>
      <c r="AM201" s="35" t="str">
        <f t="shared" si="125"/>
        <v>0</v>
      </c>
      <c r="AN201" s="36">
        <f t="shared" si="126"/>
        <v>0</v>
      </c>
      <c r="AO201" s="36">
        <f t="shared" si="116"/>
        <v>0</v>
      </c>
      <c r="AP201" s="37">
        <f t="shared" si="127"/>
        <v>0</v>
      </c>
      <c r="AQ201" s="36">
        <f t="shared" si="128"/>
        <v>0</v>
      </c>
      <c r="AR201" s="36">
        <f t="shared" si="129"/>
        <v>0</v>
      </c>
      <c r="AS201" s="39">
        <f t="shared" si="130"/>
        <v>0</v>
      </c>
      <c r="AU201" s="38">
        <f t="shared" si="142"/>
        <v>92</v>
      </c>
      <c r="AV201" s="35" t="str">
        <f t="shared" si="131"/>
        <v>0</v>
      </c>
      <c r="AW201" s="36">
        <f t="shared" si="132"/>
        <v>0</v>
      </c>
      <c r="AX201" s="36">
        <f t="shared" si="117"/>
        <v>0</v>
      </c>
      <c r="AY201" s="37">
        <f t="shared" si="133"/>
        <v>0</v>
      </c>
      <c r="AZ201" s="36">
        <f t="shared" si="134"/>
        <v>0</v>
      </c>
      <c r="BA201" s="36">
        <f t="shared" si="135"/>
        <v>0</v>
      </c>
      <c r="BB201" s="39">
        <f t="shared" si="136"/>
        <v>0</v>
      </c>
    </row>
    <row r="202" spans="2:54" x14ac:dyDescent="0.2">
      <c r="B202" s="65">
        <v>93</v>
      </c>
      <c r="C202" s="35" t="str">
        <f t="shared" si="102"/>
        <v>0</v>
      </c>
      <c r="D202" s="36">
        <f t="shared" si="103"/>
        <v>0</v>
      </c>
      <c r="E202" s="36">
        <f t="shared" si="97"/>
        <v>0</v>
      </c>
      <c r="F202" s="36">
        <f t="shared" si="104"/>
        <v>0</v>
      </c>
      <c r="G202" s="36">
        <f t="shared" si="137"/>
        <v>0</v>
      </c>
      <c r="H202" s="36">
        <f t="shared" si="98"/>
        <v>0</v>
      </c>
      <c r="I202" s="39">
        <f t="shared" si="99"/>
        <v>0</v>
      </c>
      <c r="K202" s="38">
        <f t="shared" si="138"/>
        <v>93</v>
      </c>
      <c r="L202" s="35" t="str">
        <f t="shared" si="105"/>
        <v>0</v>
      </c>
      <c r="M202" s="36">
        <f t="shared" si="106"/>
        <v>0</v>
      </c>
      <c r="N202" s="36">
        <f t="shared" si="100"/>
        <v>0</v>
      </c>
      <c r="O202" s="36">
        <f t="shared" si="107"/>
        <v>0</v>
      </c>
      <c r="P202" s="36">
        <f t="shared" si="118"/>
        <v>0</v>
      </c>
      <c r="Q202" s="36">
        <f t="shared" si="108"/>
        <v>0</v>
      </c>
      <c r="R202" s="39">
        <f t="shared" si="109"/>
        <v>0</v>
      </c>
      <c r="T202" s="38">
        <f t="shared" si="139"/>
        <v>93</v>
      </c>
      <c r="U202" s="35" t="str">
        <f t="shared" si="110"/>
        <v>0</v>
      </c>
      <c r="V202" s="36">
        <f t="shared" si="111"/>
        <v>0</v>
      </c>
      <c r="W202" s="36">
        <f t="shared" si="101"/>
        <v>0</v>
      </c>
      <c r="X202" s="37">
        <f t="shared" si="112"/>
        <v>0</v>
      </c>
      <c r="Y202" s="36">
        <f t="shared" si="119"/>
        <v>0</v>
      </c>
      <c r="Z202" s="36">
        <f t="shared" si="113"/>
        <v>0</v>
      </c>
      <c r="AA202" s="39">
        <f t="shared" si="114"/>
        <v>0</v>
      </c>
      <c r="AB202" s="41"/>
      <c r="AC202" s="38">
        <f t="shared" si="140"/>
        <v>93</v>
      </c>
      <c r="AD202" s="35" t="str">
        <f t="shared" si="120"/>
        <v>0</v>
      </c>
      <c r="AE202" s="36">
        <f t="shared" si="121"/>
        <v>0</v>
      </c>
      <c r="AF202" s="36">
        <f t="shared" si="115"/>
        <v>0</v>
      </c>
      <c r="AG202" s="37">
        <f t="shared" si="96"/>
        <v>0</v>
      </c>
      <c r="AH202" s="36">
        <f t="shared" si="122"/>
        <v>0</v>
      </c>
      <c r="AI202" s="36">
        <f t="shared" si="123"/>
        <v>0</v>
      </c>
      <c r="AJ202" s="39">
        <f t="shared" si="124"/>
        <v>0</v>
      </c>
      <c r="AL202" s="38">
        <f t="shared" si="141"/>
        <v>93</v>
      </c>
      <c r="AM202" s="35" t="str">
        <f t="shared" si="125"/>
        <v>0</v>
      </c>
      <c r="AN202" s="36">
        <f t="shared" si="126"/>
        <v>0</v>
      </c>
      <c r="AO202" s="36">
        <f t="shared" si="116"/>
        <v>0</v>
      </c>
      <c r="AP202" s="37">
        <f t="shared" si="127"/>
        <v>0</v>
      </c>
      <c r="AQ202" s="36">
        <f t="shared" si="128"/>
        <v>0</v>
      </c>
      <c r="AR202" s="36">
        <f t="shared" si="129"/>
        <v>0</v>
      </c>
      <c r="AS202" s="39">
        <f t="shared" si="130"/>
        <v>0</v>
      </c>
      <c r="AU202" s="38">
        <f t="shared" si="142"/>
        <v>93</v>
      </c>
      <c r="AV202" s="35" t="str">
        <f t="shared" si="131"/>
        <v>0</v>
      </c>
      <c r="AW202" s="36">
        <f t="shared" si="132"/>
        <v>0</v>
      </c>
      <c r="AX202" s="36">
        <f t="shared" si="117"/>
        <v>0</v>
      </c>
      <c r="AY202" s="37">
        <f t="shared" si="133"/>
        <v>0</v>
      </c>
      <c r="AZ202" s="36">
        <f t="shared" si="134"/>
        <v>0</v>
      </c>
      <c r="BA202" s="36">
        <f t="shared" si="135"/>
        <v>0</v>
      </c>
      <c r="BB202" s="39">
        <f t="shared" si="136"/>
        <v>0</v>
      </c>
    </row>
    <row r="203" spans="2:54" x14ac:dyDescent="0.2">
      <c r="B203" s="65">
        <v>94</v>
      </c>
      <c r="C203" s="35" t="str">
        <f t="shared" si="102"/>
        <v>0</v>
      </c>
      <c r="D203" s="36">
        <f t="shared" si="103"/>
        <v>0</v>
      </c>
      <c r="E203" s="36">
        <f t="shared" si="97"/>
        <v>0</v>
      </c>
      <c r="F203" s="36">
        <f t="shared" si="104"/>
        <v>0</v>
      </c>
      <c r="G203" s="36">
        <f t="shared" si="137"/>
        <v>0</v>
      </c>
      <c r="H203" s="36">
        <f t="shared" si="98"/>
        <v>0</v>
      </c>
      <c r="I203" s="39">
        <f t="shared" si="99"/>
        <v>0</v>
      </c>
      <c r="K203" s="38">
        <f t="shared" si="138"/>
        <v>94</v>
      </c>
      <c r="L203" s="35" t="str">
        <f t="shared" si="105"/>
        <v>0</v>
      </c>
      <c r="M203" s="36">
        <f t="shared" si="106"/>
        <v>0</v>
      </c>
      <c r="N203" s="36">
        <f t="shared" si="100"/>
        <v>0</v>
      </c>
      <c r="O203" s="36">
        <f t="shared" si="107"/>
        <v>0</v>
      </c>
      <c r="P203" s="36">
        <f t="shared" si="118"/>
        <v>0</v>
      </c>
      <c r="Q203" s="36">
        <f t="shared" si="108"/>
        <v>0</v>
      </c>
      <c r="R203" s="39">
        <f t="shared" si="109"/>
        <v>0</v>
      </c>
      <c r="T203" s="38">
        <f t="shared" si="139"/>
        <v>94</v>
      </c>
      <c r="U203" s="35" t="str">
        <f t="shared" si="110"/>
        <v>0</v>
      </c>
      <c r="V203" s="36">
        <f t="shared" si="111"/>
        <v>0</v>
      </c>
      <c r="W203" s="36">
        <f t="shared" si="101"/>
        <v>0</v>
      </c>
      <c r="X203" s="37">
        <f t="shared" si="112"/>
        <v>0</v>
      </c>
      <c r="Y203" s="36">
        <f t="shared" si="119"/>
        <v>0</v>
      </c>
      <c r="Z203" s="36">
        <f t="shared" si="113"/>
        <v>0</v>
      </c>
      <c r="AA203" s="39">
        <f t="shared" si="114"/>
        <v>0</v>
      </c>
      <c r="AB203" s="41"/>
      <c r="AC203" s="38">
        <f t="shared" si="140"/>
        <v>94</v>
      </c>
      <c r="AD203" s="35" t="str">
        <f t="shared" si="120"/>
        <v>0</v>
      </c>
      <c r="AE203" s="36">
        <f t="shared" si="121"/>
        <v>0</v>
      </c>
      <c r="AF203" s="36">
        <f t="shared" si="115"/>
        <v>0</v>
      </c>
      <c r="AG203" s="37">
        <f t="shared" si="96"/>
        <v>0</v>
      </c>
      <c r="AH203" s="36">
        <f t="shared" si="122"/>
        <v>0</v>
      </c>
      <c r="AI203" s="36">
        <f t="shared" si="123"/>
        <v>0</v>
      </c>
      <c r="AJ203" s="39">
        <f t="shared" si="124"/>
        <v>0</v>
      </c>
      <c r="AL203" s="38">
        <f t="shared" si="141"/>
        <v>94</v>
      </c>
      <c r="AM203" s="35" t="str">
        <f t="shared" si="125"/>
        <v>0</v>
      </c>
      <c r="AN203" s="36">
        <f t="shared" si="126"/>
        <v>0</v>
      </c>
      <c r="AO203" s="36">
        <f t="shared" si="116"/>
        <v>0</v>
      </c>
      <c r="AP203" s="37">
        <f t="shared" si="127"/>
        <v>0</v>
      </c>
      <c r="AQ203" s="36">
        <f t="shared" si="128"/>
        <v>0</v>
      </c>
      <c r="AR203" s="36">
        <f t="shared" si="129"/>
        <v>0</v>
      </c>
      <c r="AS203" s="39">
        <f t="shared" si="130"/>
        <v>0</v>
      </c>
      <c r="AU203" s="38">
        <f t="shared" si="142"/>
        <v>94</v>
      </c>
      <c r="AV203" s="35" t="str">
        <f t="shared" si="131"/>
        <v>0</v>
      </c>
      <c r="AW203" s="36">
        <f t="shared" si="132"/>
        <v>0</v>
      </c>
      <c r="AX203" s="36">
        <f t="shared" si="117"/>
        <v>0</v>
      </c>
      <c r="AY203" s="37">
        <f t="shared" si="133"/>
        <v>0</v>
      </c>
      <c r="AZ203" s="36">
        <f t="shared" si="134"/>
        <v>0</v>
      </c>
      <c r="BA203" s="36">
        <f t="shared" si="135"/>
        <v>0</v>
      </c>
      <c r="BB203" s="39">
        <f t="shared" si="136"/>
        <v>0</v>
      </c>
    </row>
    <row r="204" spans="2:54" x14ac:dyDescent="0.2">
      <c r="B204" s="65">
        <v>95</v>
      </c>
      <c r="C204" s="35" t="str">
        <f t="shared" si="102"/>
        <v>0</v>
      </c>
      <c r="D204" s="36">
        <f t="shared" si="103"/>
        <v>0</v>
      </c>
      <c r="E204" s="36">
        <f t="shared" si="97"/>
        <v>0</v>
      </c>
      <c r="F204" s="36">
        <f t="shared" si="104"/>
        <v>0</v>
      </c>
      <c r="G204" s="36">
        <f t="shared" si="137"/>
        <v>0</v>
      </c>
      <c r="H204" s="36">
        <f t="shared" si="98"/>
        <v>0</v>
      </c>
      <c r="I204" s="39">
        <f t="shared" si="99"/>
        <v>0</v>
      </c>
      <c r="K204" s="38">
        <f t="shared" si="138"/>
        <v>95</v>
      </c>
      <c r="L204" s="35" t="str">
        <f t="shared" si="105"/>
        <v>0</v>
      </c>
      <c r="M204" s="36">
        <f t="shared" si="106"/>
        <v>0</v>
      </c>
      <c r="N204" s="36">
        <f t="shared" si="100"/>
        <v>0</v>
      </c>
      <c r="O204" s="36">
        <f t="shared" si="107"/>
        <v>0</v>
      </c>
      <c r="P204" s="36">
        <f t="shared" si="118"/>
        <v>0</v>
      </c>
      <c r="Q204" s="36">
        <f t="shared" si="108"/>
        <v>0</v>
      </c>
      <c r="R204" s="39">
        <f t="shared" si="109"/>
        <v>0</v>
      </c>
      <c r="T204" s="38">
        <f t="shared" si="139"/>
        <v>95</v>
      </c>
      <c r="U204" s="35" t="str">
        <f t="shared" si="110"/>
        <v>0</v>
      </c>
      <c r="V204" s="36">
        <f t="shared" si="111"/>
        <v>0</v>
      </c>
      <c r="W204" s="36">
        <f t="shared" si="101"/>
        <v>0</v>
      </c>
      <c r="X204" s="37">
        <f t="shared" si="112"/>
        <v>0</v>
      </c>
      <c r="Y204" s="36">
        <f t="shared" si="119"/>
        <v>0</v>
      </c>
      <c r="Z204" s="36">
        <f t="shared" si="113"/>
        <v>0</v>
      </c>
      <c r="AA204" s="39">
        <f t="shared" si="114"/>
        <v>0</v>
      </c>
      <c r="AB204" s="41"/>
      <c r="AC204" s="38">
        <f t="shared" si="140"/>
        <v>95</v>
      </c>
      <c r="AD204" s="35" t="str">
        <f t="shared" si="120"/>
        <v>0</v>
      </c>
      <c r="AE204" s="36">
        <f t="shared" si="121"/>
        <v>0</v>
      </c>
      <c r="AF204" s="36">
        <f t="shared" si="115"/>
        <v>0</v>
      </c>
      <c r="AG204" s="37">
        <f t="shared" si="96"/>
        <v>0</v>
      </c>
      <c r="AH204" s="36">
        <f t="shared" si="122"/>
        <v>0</v>
      </c>
      <c r="AI204" s="36">
        <f t="shared" si="123"/>
        <v>0</v>
      </c>
      <c r="AJ204" s="39">
        <f t="shared" si="124"/>
        <v>0</v>
      </c>
      <c r="AL204" s="38">
        <f t="shared" si="141"/>
        <v>95</v>
      </c>
      <c r="AM204" s="35" t="str">
        <f t="shared" si="125"/>
        <v>0</v>
      </c>
      <c r="AN204" s="36">
        <f t="shared" si="126"/>
        <v>0</v>
      </c>
      <c r="AO204" s="36">
        <f t="shared" si="116"/>
        <v>0</v>
      </c>
      <c r="AP204" s="37">
        <f t="shared" si="127"/>
        <v>0</v>
      </c>
      <c r="AQ204" s="36">
        <f t="shared" si="128"/>
        <v>0</v>
      </c>
      <c r="AR204" s="36">
        <f t="shared" si="129"/>
        <v>0</v>
      </c>
      <c r="AS204" s="39">
        <f t="shared" si="130"/>
        <v>0</v>
      </c>
      <c r="AU204" s="38">
        <f t="shared" si="142"/>
        <v>95</v>
      </c>
      <c r="AV204" s="35" t="str">
        <f t="shared" si="131"/>
        <v>0</v>
      </c>
      <c r="AW204" s="36">
        <f t="shared" si="132"/>
        <v>0</v>
      </c>
      <c r="AX204" s="36">
        <f t="shared" si="117"/>
        <v>0</v>
      </c>
      <c r="AY204" s="37">
        <f t="shared" si="133"/>
        <v>0</v>
      </c>
      <c r="AZ204" s="36">
        <f t="shared" si="134"/>
        <v>0</v>
      </c>
      <c r="BA204" s="36">
        <f t="shared" si="135"/>
        <v>0</v>
      </c>
      <c r="BB204" s="39">
        <f t="shared" si="136"/>
        <v>0</v>
      </c>
    </row>
    <row r="205" spans="2:54" x14ac:dyDescent="0.2">
      <c r="B205" s="65">
        <v>96</v>
      </c>
      <c r="C205" s="35" t="str">
        <f t="shared" si="102"/>
        <v>0</v>
      </c>
      <c r="D205" s="36">
        <f t="shared" si="103"/>
        <v>0</v>
      </c>
      <c r="E205" s="36">
        <f t="shared" si="97"/>
        <v>0</v>
      </c>
      <c r="F205" s="36">
        <f t="shared" si="104"/>
        <v>0</v>
      </c>
      <c r="G205" s="36">
        <f t="shared" si="137"/>
        <v>0</v>
      </c>
      <c r="H205" s="36">
        <f t="shared" si="98"/>
        <v>0</v>
      </c>
      <c r="I205" s="39">
        <f t="shared" si="99"/>
        <v>0</v>
      </c>
      <c r="K205" s="38">
        <f t="shared" si="138"/>
        <v>96</v>
      </c>
      <c r="L205" s="35" t="str">
        <f t="shared" si="105"/>
        <v>0</v>
      </c>
      <c r="M205" s="36">
        <f t="shared" si="106"/>
        <v>0</v>
      </c>
      <c r="N205" s="36">
        <f t="shared" si="100"/>
        <v>0</v>
      </c>
      <c r="O205" s="36">
        <f t="shared" si="107"/>
        <v>0</v>
      </c>
      <c r="P205" s="36">
        <f t="shared" si="118"/>
        <v>0</v>
      </c>
      <c r="Q205" s="36">
        <f t="shared" si="108"/>
        <v>0</v>
      </c>
      <c r="R205" s="39">
        <f t="shared" si="109"/>
        <v>0</v>
      </c>
      <c r="T205" s="38">
        <f t="shared" si="139"/>
        <v>96</v>
      </c>
      <c r="U205" s="35" t="str">
        <f t="shared" si="110"/>
        <v>0</v>
      </c>
      <c r="V205" s="36">
        <f t="shared" si="111"/>
        <v>0</v>
      </c>
      <c r="W205" s="36">
        <f t="shared" si="101"/>
        <v>0</v>
      </c>
      <c r="X205" s="37">
        <f t="shared" si="112"/>
        <v>0</v>
      </c>
      <c r="Y205" s="36">
        <f t="shared" si="119"/>
        <v>0</v>
      </c>
      <c r="Z205" s="36">
        <f t="shared" si="113"/>
        <v>0</v>
      </c>
      <c r="AA205" s="39">
        <f t="shared" si="114"/>
        <v>0</v>
      </c>
      <c r="AB205" s="41"/>
      <c r="AC205" s="38">
        <f t="shared" si="140"/>
        <v>96</v>
      </c>
      <c r="AD205" s="35" t="str">
        <f t="shared" si="120"/>
        <v>0</v>
      </c>
      <c r="AE205" s="36">
        <f t="shared" si="121"/>
        <v>0</v>
      </c>
      <c r="AF205" s="36">
        <f t="shared" si="115"/>
        <v>0</v>
      </c>
      <c r="AG205" s="37">
        <f t="shared" si="96"/>
        <v>0</v>
      </c>
      <c r="AH205" s="36">
        <f t="shared" si="122"/>
        <v>0</v>
      </c>
      <c r="AI205" s="36">
        <f t="shared" si="123"/>
        <v>0</v>
      </c>
      <c r="AJ205" s="39">
        <f t="shared" si="124"/>
        <v>0</v>
      </c>
      <c r="AL205" s="38">
        <f t="shared" si="141"/>
        <v>96</v>
      </c>
      <c r="AM205" s="35" t="str">
        <f t="shared" si="125"/>
        <v>0</v>
      </c>
      <c r="AN205" s="36">
        <f t="shared" si="126"/>
        <v>0</v>
      </c>
      <c r="AO205" s="36">
        <f t="shared" si="116"/>
        <v>0</v>
      </c>
      <c r="AP205" s="37">
        <f t="shared" si="127"/>
        <v>0</v>
      </c>
      <c r="AQ205" s="36">
        <f t="shared" si="128"/>
        <v>0</v>
      </c>
      <c r="AR205" s="36">
        <f t="shared" si="129"/>
        <v>0</v>
      </c>
      <c r="AS205" s="39">
        <f t="shared" si="130"/>
        <v>0</v>
      </c>
      <c r="AU205" s="38">
        <f t="shared" si="142"/>
        <v>96</v>
      </c>
      <c r="AV205" s="35" t="str">
        <f t="shared" si="131"/>
        <v>0</v>
      </c>
      <c r="AW205" s="36">
        <f t="shared" si="132"/>
        <v>0</v>
      </c>
      <c r="AX205" s="36">
        <f t="shared" si="117"/>
        <v>0</v>
      </c>
      <c r="AY205" s="37">
        <f t="shared" si="133"/>
        <v>0</v>
      </c>
      <c r="AZ205" s="36">
        <f t="shared" si="134"/>
        <v>0</v>
      </c>
      <c r="BA205" s="36">
        <f t="shared" si="135"/>
        <v>0</v>
      </c>
      <c r="BB205" s="39">
        <f t="shared" si="136"/>
        <v>0</v>
      </c>
    </row>
    <row r="206" spans="2:54" x14ac:dyDescent="0.2">
      <c r="B206" s="65">
        <v>97</v>
      </c>
      <c r="C206" s="35" t="str">
        <f t="shared" si="102"/>
        <v>0</v>
      </c>
      <c r="D206" s="36">
        <f t="shared" si="103"/>
        <v>0</v>
      </c>
      <c r="E206" s="36">
        <f t="shared" ref="E206:E229" si="143">(D206*$D$92*1)/1200</f>
        <v>0</v>
      </c>
      <c r="F206" s="36">
        <f t="shared" si="104"/>
        <v>0</v>
      </c>
      <c r="G206" s="36">
        <f t="shared" si="137"/>
        <v>0</v>
      </c>
      <c r="H206" s="36">
        <f t="shared" ref="H206:H229" si="144">IF(B206&lt;=$D$97,E206+H205,0)</f>
        <v>0</v>
      </c>
      <c r="I206" s="39">
        <f t="shared" ref="I206:I229" si="145">IF(B206&lt;=$D$97,F206+I205,0)</f>
        <v>0</v>
      </c>
      <c r="K206" s="38">
        <f t="shared" si="138"/>
        <v>97</v>
      </c>
      <c r="L206" s="35" t="str">
        <f t="shared" si="105"/>
        <v>0</v>
      </c>
      <c r="M206" s="36">
        <f t="shared" si="106"/>
        <v>0</v>
      </c>
      <c r="N206" s="36">
        <f t="shared" ref="N206:N229" si="146">(M206*$M$92*1)/1200</f>
        <v>0</v>
      </c>
      <c r="O206" s="36">
        <f t="shared" si="107"/>
        <v>0</v>
      </c>
      <c r="P206" s="36">
        <f t="shared" si="118"/>
        <v>0</v>
      </c>
      <c r="Q206" s="36">
        <f t="shared" si="108"/>
        <v>0</v>
      </c>
      <c r="R206" s="39">
        <f t="shared" si="109"/>
        <v>0</v>
      </c>
      <c r="T206" s="38">
        <f t="shared" si="139"/>
        <v>97</v>
      </c>
      <c r="U206" s="35" t="str">
        <f t="shared" si="110"/>
        <v>0</v>
      </c>
      <c r="V206" s="36">
        <f t="shared" si="111"/>
        <v>0</v>
      </c>
      <c r="W206" s="36">
        <f t="shared" ref="W206:W229" si="147">(V206*$V$92*1)/1200</f>
        <v>0</v>
      </c>
      <c r="X206" s="37">
        <f t="shared" si="112"/>
        <v>0</v>
      </c>
      <c r="Y206" s="36">
        <f t="shared" si="119"/>
        <v>0</v>
      </c>
      <c r="Z206" s="36">
        <f t="shared" si="113"/>
        <v>0</v>
      </c>
      <c r="AA206" s="39">
        <f t="shared" si="114"/>
        <v>0</v>
      </c>
      <c r="AB206" s="41"/>
      <c r="AC206" s="38">
        <f t="shared" si="140"/>
        <v>97</v>
      </c>
      <c r="AD206" s="35" t="str">
        <f t="shared" si="120"/>
        <v>0</v>
      </c>
      <c r="AE206" s="36">
        <f t="shared" si="121"/>
        <v>0</v>
      </c>
      <c r="AF206" s="36">
        <f t="shared" si="115"/>
        <v>0</v>
      </c>
      <c r="AG206" s="37">
        <f t="shared" si="96"/>
        <v>0</v>
      </c>
      <c r="AH206" s="36">
        <f t="shared" si="122"/>
        <v>0</v>
      </c>
      <c r="AI206" s="36">
        <f t="shared" si="123"/>
        <v>0</v>
      </c>
      <c r="AJ206" s="39">
        <f t="shared" si="124"/>
        <v>0</v>
      </c>
      <c r="AL206" s="38">
        <f t="shared" si="141"/>
        <v>97</v>
      </c>
      <c r="AM206" s="35" t="str">
        <f t="shared" si="125"/>
        <v>0</v>
      </c>
      <c r="AN206" s="36">
        <f t="shared" si="126"/>
        <v>0</v>
      </c>
      <c r="AO206" s="36">
        <f t="shared" si="116"/>
        <v>0</v>
      </c>
      <c r="AP206" s="37">
        <f t="shared" si="127"/>
        <v>0</v>
      </c>
      <c r="AQ206" s="36">
        <f t="shared" si="128"/>
        <v>0</v>
      </c>
      <c r="AR206" s="36">
        <f t="shared" si="129"/>
        <v>0</v>
      </c>
      <c r="AS206" s="39">
        <f t="shared" si="130"/>
        <v>0</v>
      </c>
      <c r="AU206" s="38">
        <f t="shared" si="142"/>
        <v>97</v>
      </c>
      <c r="AV206" s="35" t="str">
        <f t="shared" si="131"/>
        <v>0</v>
      </c>
      <c r="AW206" s="36">
        <f t="shared" si="132"/>
        <v>0</v>
      </c>
      <c r="AX206" s="36">
        <f t="shared" si="117"/>
        <v>0</v>
      </c>
      <c r="AY206" s="37">
        <f t="shared" si="133"/>
        <v>0</v>
      </c>
      <c r="AZ206" s="36">
        <f t="shared" si="134"/>
        <v>0</v>
      </c>
      <c r="BA206" s="36">
        <f t="shared" si="135"/>
        <v>0</v>
      </c>
      <c r="BB206" s="39">
        <f t="shared" si="136"/>
        <v>0</v>
      </c>
    </row>
    <row r="207" spans="2:54" x14ac:dyDescent="0.2">
      <c r="B207" s="65">
        <v>98</v>
      </c>
      <c r="C207" s="35" t="str">
        <f t="shared" ref="C207:C229" si="148">IF(B207&lt;=$D$97,DATE(YEAR(C206),MONTH(C206)+12/$D$94,DAY(C206)),"0")</f>
        <v>0</v>
      </c>
      <c r="D207" s="36">
        <f t="shared" ref="D207:D229" si="149">IF(B207=1,$D$90,G206)</f>
        <v>0</v>
      </c>
      <c r="E207" s="36">
        <f t="shared" si="143"/>
        <v>0</v>
      </c>
      <c r="F207" s="36">
        <f t="shared" si="104"/>
        <v>0</v>
      </c>
      <c r="G207" s="36">
        <f t="shared" si="137"/>
        <v>0</v>
      </c>
      <c r="H207" s="36">
        <f t="shared" si="144"/>
        <v>0</v>
      </c>
      <c r="I207" s="39">
        <f t="shared" si="145"/>
        <v>0</v>
      </c>
      <c r="K207" s="38">
        <f t="shared" si="138"/>
        <v>98</v>
      </c>
      <c r="L207" s="35" t="str">
        <f t="shared" ref="L207:L229" si="150">IF(K207&lt;=$M$97,DATE(YEAR(L206),MONTH(L206)+12/$M$94,DAY(L206)),"0")</f>
        <v>0</v>
      </c>
      <c r="M207" s="36">
        <f t="shared" ref="M207:M229" si="151">IF(K207&lt;=$M$97,P206,0)</f>
        <v>0</v>
      </c>
      <c r="N207" s="36">
        <f t="shared" si="146"/>
        <v>0</v>
      </c>
      <c r="O207" s="36">
        <f t="shared" si="107"/>
        <v>0</v>
      </c>
      <c r="P207" s="36">
        <f t="shared" si="118"/>
        <v>0</v>
      </c>
      <c r="Q207" s="36">
        <f t="shared" ref="Q207:Q229" si="152">IF(K207&lt;=$M$97,Q206+N207,0)</f>
        <v>0</v>
      </c>
      <c r="R207" s="39">
        <f t="shared" ref="R207:R229" si="153">IF(K207&lt;=$D$97,R206+O207,0)</f>
        <v>0</v>
      </c>
      <c r="T207" s="38">
        <f t="shared" si="139"/>
        <v>98</v>
      </c>
      <c r="U207" s="35" t="str">
        <f t="shared" ref="U207:U229" si="154">IF(T207&lt;=$V$97,DATE(YEAR(U206),MONTH(U206)+12/$V$94,DAY(U206)),"0")</f>
        <v>0</v>
      </c>
      <c r="V207" s="36">
        <f t="shared" ref="V207:V229" si="155">IF(T207&lt;=$V$97,Y206,0)</f>
        <v>0</v>
      </c>
      <c r="W207" s="36">
        <f t="shared" si="147"/>
        <v>0</v>
      </c>
      <c r="X207" s="37">
        <f t="shared" si="112"/>
        <v>0</v>
      </c>
      <c r="Y207" s="36">
        <f t="shared" si="119"/>
        <v>0</v>
      </c>
      <c r="Z207" s="36">
        <f t="shared" ref="Z207:Z229" si="156">IF(T207&lt;=$V$97,Z206+W207,0)</f>
        <v>0</v>
      </c>
      <c r="AA207" s="39">
        <f t="shared" ref="AA207:AA229" si="157">IF(T207&lt;=$V$97,AA206+X207,0)</f>
        <v>0</v>
      </c>
      <c r="AB207" s="41"/>
      <c r="AC207" s="38">
        <f t="shared" si="140"/>
        <v>98</v>
      </c>
      <c r="AD207" s="35" t="str">
        <f t="shared" si="120"/>
        <v>0</v>
      </c>
      <c r="AE207" s="36">
        <f t="shared" si="121"/>
        <v>0</v>
      </c>
      <c r="AF207" s="36">
        <f t="shared" si="115"/>
        <v>0</v>
      </c>
      <c r="AG207" s="37">
        <f t="shared" si="96"/>
        <v>0</v>
      </c>
      <c r="AH207" s="36">
        <f t="shared" si="122"/>
        <v>0</v>
      </c>
      <c r="AI207" s="36">
        <f t="shared" si="123"/>
        <v>0</v>
      </c>
      <c r="AJ207" s="39">
        <f t="shared" si="124"/>
        <v>0</v>
      </c>
      <c r="AL207" s="38">
        <f t="shared" si="141"/>
        <v>98</v>
      </c>
      <c r="AM207" s="35" t="str">
        <f t="shared" si="125"/>
        <v>0</v>
      </c>
      <c r="AN207" s="36">
        <f t="shared" si="126"/>
        <v>0</v>
      </c>
      <c r="AO207" s="36">
        <f t="shared" si="116"/>
        <v>0</v>
      </c>
      <c r="AP207" s="37">
        <f t="shared" si="127"/>
        <v>0</v>
      </c>
      <c r="AQ207" s="36">
        <f t="shared" si="128"/>
        <v>0</v>
      </c>
      <c r="AR207" s="36">
        <f t="shared" si="129"/>
        <v>0</v>
      </c>
      <c r="AS207" s="39">
        <f t="shared" si="130"/>
        <v>0</v>
      </c>
      <c r="AU207" s="38">
        <f t="shared" si="142"/>
        <v>98</v>
      </c>
      <c r="AV207" s="35" t="str">
        <f t="shared" si="131"/>
        <v>0</v>
      </c>
      <c r="AW207" s="36">
        <f t="shared" si="132"/>
        <v>0</v>
      </c>
      <c r="AX207" s="36">
        <f t="shared" si="117"/>
        <v>0</v>
      </c>
      <c r="AY207" s="37">
        <f t="shared" si="133"/>
        <v>0</v>
      </c>
      <c r="AZ207" s="36">
        <f t="shared" si="134"/>
        <v>0</v>
      </c>
      <c r="BA207" s="36">
        <f t="shared" si="135"/>
        <v>0</v>
      </c>
      <c r="BB207" s="39">
        <f t="shared" si="136"/>
        <v>0</v>
      </c>
    </row>
    <row r="208" spans="2:54" x14ac:dyDescent="0.2">
      <c r="B208" s="65">
        <v>99</v>
      </c>
      <c r="C208" s="35" t="str">
        <f t="shared" si="148"/>
        <v>0</v>
      </c>
      <c r="D208" s="36">
        <f t="shared" si="149"/>
        <v>0</v>
      </c>
      <c r="E208" s="36">
        <f t="shared" si="143"/>
        <v>0</v>
      </c>
      <c r="F208" s="36">
        <f t="shared" si="104"/>
        <v>0</v>
      </c>
      <c r="G208" s="36">
        <f t="shared" si="137"/>
        <v>0</v>
      </c>
      <c r="H208" s="36">
        <f t="shared" si="144"/>
        <v>0</v>
      </c>
      <c r="I208" s="39">
        <f t="shared" si="145"/>
        <v>0</v>
      </c>
      <c r="K208" s="38">
        <f t="shared" si="138"/>
        <v>99</v>
      </c>
      <c r="L208" s="35" t="str">
        <f t="shared" si="150"/>
        <v>0</v>
      </c>
      <c r="M208" s="36">
        <f t="shared" si="151"/>
        <v>0</v>
      </c>
      <c r="N208" s="36">
        <f t="shared" si="146"/>
        <v>0</v>
      </c>
      <c r="O208" s="36">
        <f t="shared" si="107"/>
        <v>0</v>
      </c>
      <c r="P208" s="36">
        <f t="shared" si="118"/>
        <v>0</v>
      </c>
      <c r="Q208" s="36">
        <f t="shared" si="152"/>
        <v>0</v>
      </c>
      <c r="R208" s="39">
        <f t="shared" si="153"/>
        <v>0</v>
      </c>
      <c r="T208" s="38">
        <f t="shared" si="139"/>
        <v>99</v>
      </c>
      <c r="U208" s="35" t="str">
        <f t="shared" si="154"/>
        <v>0</v>
      </c>
      <c r="V208" s="36">
        <f t="shared" si="155"/>
        <v>0</v>
      </c>
      <c r="W208" s="36">
        <f t="shared" si="147"/>
        <v>0</v>
      </c>
      <c r="X208" s="37">
        <f t="shared" si="112"/>
        <v>0</v>
      </c>
      <c r="Y208" s="36">
        <f t="shared" si="119"/>
        <v>0</v>
      </c>
      <c r="Z208" s="36">
        <f t="shared" si="156"/>
        <v>0</v>
      </c>
      <c r="AA208" s="39">
        <f t="shared" si="157"/>
        <v>0</v>
      </c>
      <c r="AB208" s="41"/>
      <c r="AC208" s="38">
        <f t="shared" si="140"/>
        <v>99</v>
      </c>
      <c r="AD208" s="35" t="str">
        <f t="shared" si="120"/>
        <v>0</v>
      </c>
      <c r="AE208" s="36">
        <f t="shared" si="121"/>
        <v>0</v>
      </c>
      <c r="AF208" s="36">
        <f t="shared" si="115"/>
        <v>0</v>
      </c>
      <c r="AG208" s="37">
        <f t="shared" si="96"/>
        <v>0</v>
      </c>
      <c r="AH208" s="36">
        <f t="shared" si="122"/>
        <v>0</v>
      </c>
      <c r="AI208" s="36">
        <f t="shared" si="123"/>
        <v>0</v>
      </c>
      <c r="AJ208" s="39">
        <f t="shared" si="124"/>
        <v>0</v>
      </c>
      <c r="AL208" s="38">
        <f t="shared" si="141"/>
        <v>99</v>
      </c>
      <c r="AM208" s="35" t="str">
        <f t="shared" si="125"/>
        <v>0</v>
      </c>
      <c r="AN208" s="36">
        <f t="shared" si="126"/>
        <v>0</v>
      </c>
      <c r="AO208" s="36">
        <f t="shared" si="116"/>
        <v>0</v>
      </c>
      <c r="AP208" s="37">
        <f t="shared" si="127"/>
        <v>0</v>
      </c>
      <c r="AQ208" s="36">
        <f t="shared" si="128"/>
        <v>0</v>
      </c>
      <c r="AR208" s="36">
        <f t="shared" si="129"/>
        <v>0</v>
      </c>
      <c r="AS208" s="39">
        <f t="shared" si="130"/>
        <v>0</v>
      </c>
      <c r="AU208" s="38">
        <f t="shared" si="142"/>
        <v>99</v>
      </c>
      <c r="AV208" s="35" t="str">
        <f t="shared" si="131"/>
        <v>0</v>
      </c>
      <c r="AW208" s="36">
        <f t="shared" si="132"/>
        <v>0</v>
      </c>
      <c r="AX208" s="36">
        <f t="shared" si="117"/>
        <v>0</v>
      </c>
      <c r="AY208" s="37">
        <f t="shared" si="133"/>
        <v>0</v>
      </c>
      <c r="AZ208" s="36">
        <f t="shared" si="134"/>
        <v>0</v>
      </c>
      <c r="BA208" s="36">
        <f t="shared" si="135"/>
        <v>0</v>
      </c>
      <c r="BB208" s="39">
        <f t="shared" si="136"/>
        <v>0</v>
      </c>
    </row>
    <row r="209" spans="2:54" x14ac:dyDescent="0.2">
      <c r="B209" s="65">
        <v>100</v>
      </c>
      <c r="C209" s="35" t="str">
        <f t="shared" si="148"/>
        <v>0</v>
      </c>
      <c r="D209" s="36">
        <f t="shared" si="149"/>
        <v>0</v>
      </c>
      <c r="E209" s="36">
        <f t="shared" si="143"/>
        <v>0</v>
      </c>
      <c r="F209" s="36">
        <f t="shared" si="104"/>
        <v>0</v>
      </c>
      <c r="G209" s="36">
        <f t="shared" si="137"/>
        <v>0</v>
      </c>
      <c r="H209" s="36">
        <f t="shared" si="144"/>
        <v>0</v>
      </c>
      <c r="I209" s="39">
        <f t="shared" si="145"/>
        <v>0</v>
      </c>
      <c r="K209" s="38">
        <f t="shared" si="138"/>
        <v>100</v>
      </c>
      <c r="L209" s="35" t="str">
        <f t="shared" si="150"/>
        <v>0</v>
      </c>
      <c r="M209" s="36">
        <f t="shared" si="151"/>
        <v>0</v>
      </c>
      <c r="N209" s="36">
        <f t="shared" si="146"/>
        <v>0</v>
      </c>
      <c r="O209" s="36">
        <f t="shared" si="107"/>
        <v>0</v>
      </c>
      <c r="P209" s="36">
        <f t="shared" si="118"/>
        <v>0</v>
      </c>
      <c r="Q209" s="36">
        <f t="shared" si="152"/>
        <v>0</v>
      </c>
      <c r="R209" s="39">
        <f t="shared" si="153"/>
        <v>0</v>
      </c>
      <c r="T209" s="38">
        <f t="shared" si="139"/>
        <v>100</v>
      </c>
      <c r="U209" s="35" t="str">
        <f t="shared" si="154"/>
        <v>0</v>
      </c>
      <c r="V209" s="36">
        <f t="shared" si="155"/>
        <v>0</v>
      </c>
      <c r="W209" s="36">
        <f t="shared" si="147"/>
        <v>0</v>
      </c>
      <c r="X209" s="37">
        <f t="shared" si="112"/>
        <v>0</v>
      </c>
      <c r="Y209" s="36">
        <f t="shared" si="119"/>
        <v>0</v>
      </c>
      <c r="Z209" s="36">
        <f t="shared" si="156"/>
        <v>0</v>
      </c>
      <c r="AA209" s="39">
        <f t="shared" si="157"/>
        <v>0</v>
      </c>
      <c r="AB209" s="41"/>
      <c r="AC209" s="38">
        <f t="shared" si="140"/>
        <v>100</v>
      </c>
      <c r="AD209" s="35" t="str">
        <f t="shared" si="120"/>
        <v>0</v>
      </c>
      <c r="AE209" s="36">
        <f t="shared" si="121"/>
        <v>0</v>
      </c>
      <c r="AF209" s="36">
        <f t="shared" si="115"/>
        <v>0</v>
      </c>
      <c r="AG209" s="37">
        <f t="shared" si="96"/>
        <v>0</v>
      </c>
      <c r="AH209" s="36">
        <f t="shared" si="122"/>
        <v>0</v>
      </c>
      <c r="AI209" s="36">
        <f t="shared" si="123"/>
        <v>0</v>
      </c>
      <c r="AJ209" s="39">
        <f t="shared" si="124"/>
        <v>0</v>
      </c>
      <c r="AL209" s="38">
        <f t="shared" si="141"/>
        <v>100</v>
      </c>
      <c r="AM209" s="35" t="str">
        <f t="shared" si="125"/>
        <v>0</v>
      </c>
      <c r="AN209" s="36">
        <f t="shared" si="126"/>
        <v>0</v>
      </c>
      <c r="AO209" s="36">
        <f t="shared" si="116"/>
        <v>0</v>
      </c>
      <c r="AP209" s="37">
        <f t="shared" si="127"/>
        <v>0</v>
      </c>
      <c r="AQ209" s="36">
        <f t="shared" si="128"/>
        <v>0</v>
      </c>
      <c r="AR209" s="36">
        <f t="shared" si="129"/>
        <v>0</v>
      </c>
      <c r="AS209" s="39">
        <f t="shared" si="130"/>
        <v>0</v>
      </c>
      <c r="AU209" s="38">
        <f t="shared" si="142"/>
        <v>100</v>
      </c>
      <c r="AV209" s="35" t="str">
        <f t="shared" si="131"/>
        <v>0</v>
      </c>
      <c r="AW209" s="36">
        <f t="shared" si="132"/>
        <v>0</v>
      </c>
      <c r="AX209" s="36">
        <f t="shared" si="117"/>
        <v>0</v>
      </c>
      <c r="AY209" s="37">
        <f t="shared" si="133"/>
        <v>0</v>
      </c>
      <c r="AZ209" s="36">
        <f t="shared" si="134"/>
        <v>0</v>
      </c>
      <c r="BA209" s="36">
        <f t="shared" si="135"/>
        <v>0</v>
      </c>
      <c r="BB209" s="39">
        <f t="shared" si="136"/>
        <v>0</v>
      </c>
    </row>
    <row r="210" spans="2:54" x14ac:dyDescent="0.2">
      <c r="B210" s="65">
        <v>101</v>
      </c>
      <c r="C210" s="35" t="str">
        <f t="shared" si="148"/>
        <v>0</v>
      </c>
      <c r="D210" s="36">
        <f t="shared" si="149"/>
        <v>0</v>
      </c>
      <c r="E210" s="36">
        <f t="shared" si="143"/>
        <v>0</v>
      </c>
      <c r="F210" s="36">
        <f t="shared" si="104"/>
        <v>0</v>
      </c>
      <c r="G210" s="36">
        <f t="shared" si="137"/>
        <v>0</v>
      </c>
      <c r="H210" s="36">
        <f t="shared" si="144"/>
        <v>0</v>
      </c>
      <c r="I210" s="39">
        <f t="shared" si="145"/>
        <v>0</v>
      </c>
      <c r="K210" s="38">
        <f t="shared" si="138"/>
        <v>101</v>
      </c>
      <c r="L210" s="35" t="str">
        <f t="shared" si="150"/>
        <v>0</v>
      </c>
      <c r="M210" s="36">
        <f t="shared" si="151"/>
        <v>0</v>
      </c>
      <c r="N210" s="36">
        <f t="shared" si="146"/>
        <v>0</v>
      </c>
      <c r="O210" s="36">
        <f t="shared" si="107"/>
        <v>0</v>
      </c>
      <c r="P210" s="36">
        <f t="shared" si="118"/>
        <v>0</v>
      </c>
      <c r="Q210" s="36">
        <f t="shared" si="152"/>
        <v>0</v>
      </c>
      <c r="R210" s="39">
        <f t="shared" si="153"/>
        <v>0</v>
      </c>
      <c r="T210" s="38">
        <f t="shared" si="139"/>
        <v>101</v>
      </c>
      <c r="U210" s="35" t="str">
        <f t="shared" si="154"/>
        <v>0</v>
      </c>
      <c r="V210" s="36">
        <f t="shared" si="155"/>
        <v>0</v>
      </c>
      <c r="W210" s="36">
        <f t="shared" si="147"/>
        <v>0</v>
      </c>
      <c r="X210" s="37">
        <f t="shared" si="112"/>
        <v>0</v>
      </c>
      <c r="Y210" s="36">
        <f t="shared" si="119"/>
        <v>0</v>
      </c>
      <c r="Z210" s="36">
        <f t="shared" si="156"/>
        <v>0</v>
      </c>
      <c r="AA210" s="39">
        <f t="shared" si="157"/>
        <v>0</v>
      </c>
      <c r="AB210" s="41"/>
      <c r="AC210" s="38">
        <f t="shared" si="140"/>
        <v>101</v>
      </c>
      <c r="AD210" s="35" t="str">
        <f t="shared" si="120"/>
        <v>0</v>
      </c>
      <c r="AE210" s="36">
        <f t="shared" si="121"/>
        <v>0</v>
      </c>
      <c r="AF210" s="36">
        <f t="shared" si="115"/>
        <v>0</v>
      </c>
      <c r="AG210" s="37">
        <f t="shared" si="96"/>
        <v>0</v>
      </c>
      <c r="AH210" s="36">
        <f t="shared" si="122"/>
        <v>0</v>
      </c>
      <c r="AI210" s="36">
        <f t="shared" si="123"/>
        <v>0</v>
      </c>
      <c r="AJ210" s="39">
        <f t="shared" si="124"/>
        <v>0</v>
      </c>
      <c r="AL210" s="38">
        <f t="shared" si="141"/>
        <v>101</v>
      </c>
      <c r="AM210" s="35" t="str">
        <f t="shared" si="125"/>
        <v>0</v>
      </c>
      <c r="AN210" s="36">
        <f t="shared" si="126"/>
        <v>0</v>
      </c>
      <c r="AO210" s="36">
        <f t="shared" si="116"/>
        <v>0</v>
      </c>
      <c r="AP210" s="37">
        <f t="shared" si="127"/>
        <v>0</v>
      </c>
      <c r="AQ210" s="36">
        <f t="shared" si="128"/>
        <v>0</v>
      </c>
      <c r="AR210" s="36">
        <f t="shared" si="129"/>
        <v>0</v>
      </c>
      <c r="AS210" s="39">
        <f t="shared" si="130"/>
        <v>0</v>
      </c>
      <c r="AU210" s="38">
        <f t="shared" si="142"/>
        <v>101</v>
      </c>
      <c r="AV210" s="35" t="str">
        <f t="shared" si="131"/>
        <v>0</v>
      </c>
      <c r="AW210" s="36">
        <f t="shared" si="132"/>
        <v>0</v>
      </c>
      <c r="AX210" s="36">
        <f t="shared" si="117"/>
        <v>0</v>
      </c>
      <c r="AY210" s="37">
        <f t="shared" si="133"/>
        <v>0</v>
      </c>
      <c r="AZ210" s="36">
        <f t="shared" si="134"/>
        <v>0</v>
      </c>
      <c r="BA210" s="36">
        <f t="shared" si="135"/>
        <v>0</v>
      </c>
      <c r="BB210" s="39">
        <f t="shared" si="136"/>
        <v>0</v>
      </c>
    </row>
    <row r="211" spans="2:54" x14ac:dyDescent="0.2">
      <c r="B211" s="65">
        <v>102</v>
      </c>
      <c r="C211" s="35" t="str">
        <f t="shared" si="148"/>
        <v>0</v>
      </c>
      <c r="D211" s="36">
        <f t="shared" si="149"/>
        <v>0</v>
      </c>
      <c r="E211" s="36">
        <f t="shared" si="143"/>
        <v>0</v>
      </c>
      <c r="F211" s="36">
        <f t="shared" si="104"/>
        <v>0</v>
      </c>
      <c r="G211" s="36">
        <f t="shared" si="137"/>
        <v>0</v>
      </c>
      <c r="H211" s="36">
        <f t="shared" si="144"/>
        <v>0</v>
      </c>
      <c r="I211" s="39">
        <f t="shared" si="145"/>
        <v>0</v>
      </c>
      <c r="K211" s="38">
        <f t="shared" si="138"/>
        <v>102</v>
      </c>
      <c r="L211" s="35" t="str">
        <f t="shared" si="150"/>
        <v>0</v>
      </c>
      <c r="M211" s="36">
        <f t="shared" si="151"/>
        <v>0</v>
      </c>
      <c r="N211" s="36">
        <f t="shared" si="146"/>
        <v>0</v>
      </c>
      <c r="O211" s="36">
        <f t="shared" si="107"/>
        <v>0</v>
      </c>
      <c r="P211" s="36">
        <f t="shared" si="118"/>
        <v>0</v>
      </c>
      <c r="Q211" s="36">
        <f t="shared" si="152"/>
        <v>0</v>
      </c>
      <c r="R211" s="39">
        <f t="shared" si="153"/>
        <v>0</v>
      </c>
      <c r="T211" s="38">
        <f t="shared" si="139"/>
        <v>102</v>
      </c>
      <c r="U211" s="35" t="str">
        <f t="shared" si="154"/>
        <v>0</v>
      </c>
      <c r="V211" s="36">
        <f t="shared" si="155"/>
        <v>0</v>
      </c>
      <c r="W211" s="36">
        <f t="shared" si="147"/>
        <v>0</v>
      </c>
      <c r="X211" s="37">
        <f t="shared" si="112"/>
        <v>0</v>
      </c>
      <c r="Y211" s="36">
        <f t="shared" si="119"/>
        <v>0</v>
      </c>
      <c r="Z211" s="36">
        <f t="shared" si="156"/>
        <v>0</v>
      </c>
      <c r="AA211" s="39">
        <f t="shared" si="157"/>
        <v>0</v>
      </c>
      <c r="AB211" s="41"/>
      <c r="AC211" s="38">
        <f t="shared" si="140"/>
        <v>102</v>
      </c>
      <c r="AD211" s="35" t="str">
        <f t="shared" si="120"/>
        <v>0</v>
      </c>
      <c r="AE211" s="36">
        <f t="shared" si="121"/>
        <v>0</v>
      </c>
      <c r="AF211" s="36">
        <f t="shared" si="115"/>
        <v>0</v>
      </c>
      <c r="AG211" s="37">
        <f t="shared" si="96"/>
        <v>0</v>
      </c>
      <c r="AH211" s="36">
        <f t="shared" si="122"/>
        <v>0</v>
      </c>
      <c r="AI211" s="36">
        <f t="shared" si="123"/>
        <v>0</v>
      </c>
      <c r="AJ211" s="39">
        <f t="shared" si="124"/>
        <v>0</v>
      </c>
      <c r="AL211" s="38">
        <f t="shared" si="141"/>
        <v>102</v>
      </c>
      <c r="AM211" s="35" t="str">
        <f t="shared" si="125"/>
        <v>0</v>
      </c>
      <c r="AN211" s="36">
        <f t="shared" si="126"/>
        <v>0</v>
      </c>
      <c r="AO211" s="36">
        <f t="shared" si="116"/>
        <v>0</v>
      </c>
      <c r="AP211" s="37">
        <f t="shared" si="127"/>
        <v>0</v>
      </c>
      <c r="AQ211" s="36">
        <f t="shared" si="128"/>
        <v>0</v>
      </c>
      <c r="AR211" s="36">
        <f t="shared" si="129"/>
        <v>0</v>
      </c>
      <c r="AS211" s="39">
        <f t="shared" si="130"/>
        <v>0</v>
      </c>
      <c r="AU211" s="38">
        <f t="shared" si="142"/>
        <v>102</v>
      </c>
      <c r="AV211" s="35" t="str">
        <f t="shared" si="131"/>
        <v>0</v>
      </c>
      <c r="AW211" s="36">
        <f t="shared" si="132"/>
        <v>0</v>
      </c>
      <c r="AX211" s="36">
        <f t="shared" si="117"/>
        <v>0</v>
      </c>
      <c r="AY211" s="37">
        <f t="shared" si="133"/>
        <v>0</v>
      </c>
      <c r="AZ211" s="36">
        <f t="shared" si="134"/>
        <v>0</v>
      </c>
      <c r="BA211" s="36">
        <f t="shared" si="135"/>
        <v>0</v>
      </c>
      <c r="BB211" s="39">
        <f t="shared" si="136"/>
        <v>0</v>
      </c>
    </row>
    <row r="212" spans="2:54" x14ac:dyDescent="0.2">
      <c r="B212" s="65">
        <v>103</v>
      </c>
      <c r="C212" s="35" t="str">
        <f t="shared" si="148"/>
        <v>0</v>
      </c>
      <c r="D212" s="36">
        <f t="shared" si="149"/>
        <v>0</v>
      </c>
      <c r="E212" s="36">
        <f t="shared" si="143"/>
        <v>0</v>
      </c>
      <c r="F212" s="36">
        <f t="shared" si="104"/>
        <v>0</v>
      </c>
      <c r="G212" s="36">
        <f t="shared" si="137"/>
        <v>0</v>
      </c>
      <c r="H212" s="36">
        <f t="shared" si="144"/>
        <v>0</v>
      </c>
      <c r="I212" s="39">
        <f t="shared" si="145"/>
        <v>0</v>
      </c>
      <c r="K212" s="38">
        <f t="shared" si="138"/>
        <v>103</v>
      </c>
      <c r="L212" s="35" t="str">
        <f t="shared" si="150"/>
        <v>0</v>
      </c>
      <c r="M212" s="36">
        <f t="shared" si="151"/>
        <v>0</v>
      </c>
      <c r="N212" s="36">
        <f t="shared" si="146"/>
        <v>0</v>
      </c>
      <c r="O212" s="36">
        <f t="shared" si="107"/>
        <v>0</v>
      </c>
      <c r="P212" s="36">
        <f t="shared" si="118"/>
        <v>0</v>
      </c>
      <c r="Q212" s="36">
        <f t="shared" si="152"/>
        <v>0</v>
      </c>
      <c r="R212" s="39">
        <f t="shared" si="153"/>
        <v>0</v>
      </c>
      <c r="T212" s="38">
        <f t="shared" si="139"/>
        <v>103</v>
      </c>
      <c r="U212" s="35" t="str">
        <f t="shared" si="154"/>
        <v>0</v>
      </c>
      <c r="V212" s="36">
        <f t="shared" si="155"/>
        <v>0</v>
      </c>
      <c r="W212" s="36">
        <f t="shared" si="147"/>
        <v>0</v>
      </c>
      <c r="X212" s="37">
        <f t="shared" si="112"/>
        <v>0</v>
      </c>
      <c r="Y212" s="36">
        <f t="shared" si="119"/>
        <v>0</v>
      </c>
      <c r="Z212" s="36">
        <f t="shared" si="156"/>
        <v>0</v>
      </c>
      <c r="AA212" s="39">
        <f t="shared" si="157"/>
        <v>0</v>
      </c>
      <c r="AB212" s="41"/>
      <c r="AC212" s="38">
        <f t="shared" si="140"/>
        <v>103</v>
      </c>
      <c r="AD212" s="35" t="str">
        <f t="shared" si="120"/>
        <v>0</v>
      </c>
      <c r="AE212" s="36">
        <f t="shared" si="121"/>
        <v>0</v>
      </c>
      <c r="AF212" s="36">
        <f t="shared" si="115"/>
        <v>0</v>
      </c>
      <c r="AG212" s="37">
        <f t="shared" si="96"/>
        <v>0</v>
      </c>
      <c r="AH212" s="36">
        <f t="shared" si="122"/>
        <v>0</v>
      </c>
      <c r="AI212" s="36">
        <f t="shared" si="123"/>
        <v>0</v>
      </c>
      <c r="AJ212" s="39">
        <f t="shared" si="124"/>
        <v>0</v>
      </c>
      <c r="AL212" s="38">
        <f t="shared" si="141"/>
        <v>103</v>
      </c>
      <c r="AM212" s="35" t="str">
        <f t="shared" si="125"/>
        <v>0</v>
      </c>
      <c r="AN212" s="36">
        <f t="shared" si="126"/>
        <v>0</v>
      </c>
      <c r="AO212" s="36">
        <f t="shared" si="116"/>
        <v>0</v>
      </c>
      <c r="AP212" s="37">
        <f t="shared" si="127"/>
        <v>0</v>
      </c>
      <c r="AQ212" s="36">
        <f t="shared" si="128"/>
        <v>0</v>
      </c>
      <c r="AR212" s="36">
        <f t="shared" si="129"/>
        <v>0</v>
      </c>
      <c r="AS212" s="39">
        <f t="shared" si="130"/>
        <v>0</v>
      </c>
      <c r="AU212" s="38">
        <f t="shared" si="142"/>
        <v>103</v>
      </c>
      <c r="AV212" s="35" t="str">
        <f t="shared" si="131"/>
        <v>0</v>
      </c>
      <c r="AW212" s="36">
        <f t="shared" si="132"/>
        <v>0</v>
      </c>
      <c r="AX212" s="36">
        <f t="shared" si="117"/>
        <v>0</v>
      </c>
      <c r="AY212" s="37">
        <f t="shared" si="133"/>
        <v>0</v>
      </c>
      <c r="AZ212" s="36">
        <f t="shared" si="134"/>
        <v>0</v>
      </c>
      <c r="BA212" s="36">
        <f t="shared" si="135"/>
        <v>0</v>
      </c>
      <c r="BB212" s="39">
        <f t="shared" si="136"/>
        <v>0</v>
      </c>
    </row>
    <row r="213" spans="2:54" x14ac:dyDescent="0.2">
      <c r="B213" s="65">
        <v>104</v>
      </c>
      <c r="C213" s="35" t="str">
        <f t="shared" si="148"/>
        <v>0</v>
      </c>
      <c r="D213" s="36">
        <f t="shared" si="149"/>
        <v>0</v>
      </c>
      <c r="E213" s="36">
        <f t="shared" si="143"/>
        <v>0</v>
      </c>
      <c r="F213" s="36">
        <f t="shared" si="104"/>
        <v>0</v>
      </c>
      <c r="G213" s="36">
        <f t="shared" si="137"/>
        <v>0</v>
      </c>
      <c r="H213" s="36">
        <f t="shared" si="144"/>
        <v>0</v>
      </c>
      <c r="I213" s="39">
        <f t="shared" si="145"/>
        <v>0</v>
      </c>
      <c r="K213" s="38">
        <f t="shared" si="138"/>
        <v>104</v>
      </c>
      <c r="L213" s="35" t="str">
        <f t="shared" si="150"/>
        <v>0</v>
      </c>
      <c r="M213" s="36">
        <f t="shared" si="151"/>
        <v>0</v>
      </c>
      <c r="N213" s="36">
        <f t="shared" si="146"/>
        <v>0</v>
      </c>
      <c r="O213" s="36">
        <f t="shared" si="107"/>
        <v>0</v>
      </c>
      <c r="P213" s="36">
        <f t="shared" si="118"/>
        <v>0</v>
      </c>
      <c r="Q213" s="36">
        <f t="shared" si="152"/>
        <v>0</v>
      </c>
      <c r="R213" s="39">
        <f t="shared" si="153"/>
        <v>0</v>
      </c>
      <c r="T213" s="38">
        <f t="shared" si="139"/>
        <v>104</v>
      </c>
      <c r="U213" s="35" t="str">
        <f t="shared" si="154"/>
        <v>0</v>
      </c>
      <c r="V213" s="36">
        <f t="shared" si="155"/>
        <v>0</v>
      </c>
      <c r="W213" s="36">
        <f t="shared" si="147"/>
        <v>0</v>
      </c>
      <c r="X213" s="37">
        <f t="shared" si="112"/>
        <v>0</v>
      </c>
      <c r="Y213" s="36">
        <f t="shared" si="119"/>
        <v>0</v>
      </c>
      <c r="Z213" s="36">
        <f t="shared" si="156"/>
        <v>0</v>
      </c>
      <c r="AA213" s="39">
        <f t="shared" si="157"/>
        <v>0</v>
      </c>
      <c r="AB213" s="41"/>
      <c r="AC213" s="38">
        <f t="shared" si="140"/>
        <v>104</v>
      </c>
      <c r="AD213" s="35" t="str">
        <f t="shared" si="120"/>
        <v>0</v>
      </c>
      <c r="AE213" s="36">
        <f t="shared" si="121"/>
        <v>0</v>
      </c>
      <c r="AF213" s="36">
        <f t="shared" si="115"/>
        <v>0</v>
      </c>
      <c r="AG213" s="37">
        <f t="shared" si="96"/>
        <v>0</v>
      </c>
      <c r="AH213" s="36">
        <f t="shared" si="122"/>
        <v>0</v>
      </c>
      <c r="AI213" s="36">
        <f t="shared" si="123"/>
        <v>0</v>
      </c>
      <c r="AJ213" s="39">
        <f t="shared" si="124"/>
        <v>0</v>
      </c>
      <c r="AL213" s="38">
        <f t="shared" si="141"/>
        <v>104</v>
      </c>
      <c r="AM213" s="35" t="str">
        <f t="shared" si="125"/>
        <v>0</v>
      </c>
      <c r="AN213" s="36">
        <f t="shared" si="126"/>
        <v>0</v>
      </c>
      <c r="AO213" s="36">
        <f t="shared" si="116"/>
        <v>0</v>
      </c>
      <c r="AP213" s="37">
        <f t="shared" si="127"/>
        <v>0</v>
      </c>
      <c r="AQ213" s="36">
        <f t="shared" si="128"/>
        <v>0</v>
      </c>
      <c r="AR213" s="36">
        <f t="shared" si="129"/>
        <v>0</v>
      </c>
      <c r="AS213" s="39">
        <f t="shared" si="130"/>
        <v>0</v>
      </c>
      <c r="AU213" s="38">
        <f t="shared" si="142"/>
        <v>104</v>
      </c>
      <c r="AV213" s="35" t="str">
        <f t="shared" si="131"/>
        <v>0</v>
      </c>
      <c r="AW213" s="36">
        <f t="shared" si="132"/>
        <v>0</v>
      </c>
      <c r="AX213" s="36">
        <f t="shared" si="117"/>
        <v>0</v>
      </c>
      <c r="AY213" s="37">
        <f t="shared" si="133"/>
        <v>0</v>
      </c>
      <c r="AZ213" s="36">
        <f t="shared" si="134"/>
        <v>0</v>
      </c>
      <c r="BA213" s="36">
        <f t="shared" si="135"/>
        <v>0</v>
      </c>
      <c r="BB213" s="39">
        <f t="shared" si="136"/>
        <v>0</v>
      </c>
    </row>
    <row r="214" spans="2:54" x14ac:dyDescent="0.2">
      <c r="B214" s="65">
        <v>105</v>
      </c>
      <c r="C214" s="35" t="str">
        <f t="shared" si="148"/>
        <v>0</v>
      </c>
      <c r="D214" s="36">
        <f t="shared" si="149"/>
        <v>0</v>
      </c>
      <c r="E214" s="36">
        <f t="shared" si="143"/>
        <v>0</v>
      </c>
      <c r="F214" s="36">
        <f t="shared" si="104"/>
        <v>0</v>
      </c>
      <c r="G214" s="36">
        <f t="shared" si="137"/>
        <v>0</v>
      </c>
      <c r="H214" s="36">
        <f t="shared" si="144"/>
        <v>0</v>
      </c>
      <c r="I214" s="39">
        <f t="shared" si="145"/>
        <v>0</v>
      </c>
      <c r="K214" s="38">
        <f t="shared" si="138"/>
        <v>105</v>
      </c>
      <c r="L214" s="35" t="str">
        <f t="shared" si="150"/>
        <v>0</v>
      </c>
      <c r="M214" s="36">
        <f t="shared" si="151"/>
        <v>0</v>
      </c>
      <c r="N214" s="36">
        <f t="shared" si="146"/>
        <v>0</v>
      </c>
      <c r="O214" s="36">
        <f t="shared" si="107"/>
        <v>0</v>
      </c>
      <c r="P214" s="36">
        <f t="shared" si="118"/>
        <v>0</v>
      </c>
      <c r="Q214" s="36">
        <f t="shared" si="152"/>
        <v>0</v>
      </c>
      <c r="R214" s="39">
        <f t="shared" si="153"/>
        <v>0</v>
      </c>
      <c r="T214" s="38">
        <f t="shared" si="139"/>
        <v>105</v>
      </c>
      <c r="U214" s="35" t="str">
        <f t="shared" si="154"/>
        <v>0</v>
      </c>
      <c r="V214" s="36">
        <f t="shared" si="155"/>
        <v>0</v>
      </c>
      <c r="W214" s="36">
        <f t="shared" si="147"/>
        <v>0</v>
      </c>
      <c r="X214" s="37">
        <f t="shared" si="112"/>
        <v>0</v>
      </c>
      <c r="Y214" s="36">
        <f t="shared" si="119"/>
        <v>0</v>
      </c>
      <c r="Z214" s="36">
        <f t="shared" si="156"/>
        <v>0</v>
      </c>
      <c r="AA214" s="39">
        <f t="shared" si="157"/>
        <v>0</v>
      </c>
      <c r="AB214" s="41"/>
      <c r="AC214" s="38">
        <f t="shared" si="140"/>
        <v>105</v>
      </c>
      <c r="AD214" s="35" t="str">
        <f t="shared" si="120"/>
        <v>0</v>
      </c>
      <c r="AE214" s="36">
        <f t="shared" si="121"/>
        <v>0</v>
      </c>
      <c r="AF214" s="36">
        <f t="shared" si="115"/>
        <v>0</v>
      </c>
      <c r="AG214" s="37">
        <f t="shared" si="96"/>
        <v>0</v>
      </c>
      <c r="AH214" s="36">
        <f t="shared" si="122"/>
        <v>0</v>
      </c>
      <c r="AI214" s="36">
        <f t="shared" si="123"/>
        <v>0</v>
      </c>
      <c r="AJ214" s="39">
        <f t="shared" si="124"/>
        <v>0</v>
      </c>
      <c r="AL214" s="38">
        <f t="shared" si="141"/>
        <v>105</v>
      </c>
      <c r="AM214" s="35" t="str">
        <f t="shared" si="125"/>
        <v>0</v>
      </c>
      <c r="AN214" s="36">
        <f t="shared" si="126"/>
        <v>0</v>
      </c>
      <c r="AO214" s="36">
        <f t="shared" si="116"/>
        <v>0</v>
      </c>
      <c r="AP214" s="37">
        <f t="shared" si="127"/>
        <v>0</v>
      </c>
      <c r="AQ214" s="36">
        <f t="shared" si="128"/>
        <v>0</v>
      </c>
      <c r="AR214" s="36">
        <f t="shared" si="129"/>
        <v>0</v>
      </c>
      <c r="AS214" s="39">
        <f t="shared" si="130"/>
        <v>0</v>
      </c>
      <c r="AU214" s="38">
        <f t="shared" si="142"/>
        <v>105</v>
      </c>
      <c r="AV214" s="35" t="str">
        <f t="shared" si="131"/>
        <v>0</v>
      </c>
      <c r="AW214" s="36">
        <f t="shared" si="132"/>
        <v>0</v>
      </c>
      <c r="AX214" s="36">
        <f t="shared" si="117"/>
        <v>0</v>
      </c>
      <c r="AY214" s="37">
        <f t="shared" si="133"/>
        <v>0</v>
      </c>
      <c r="AZ214" s="36">
        <f t="shared" si="134"/>
        <v>0</v>
      </c>
      <c r="BA214" s="36">
        <f t="shared" si="135"/>
        <v>0</v>
      </c>
      <c r="BB214" s="39">
        <f t="shared" si="136"/>
        <v>0</v>
      </c>
    </row>
    <row r="215" spans="2:54" x14ac:dyDescent="0.2">
      <c r="B215" s="65">
        <v>106</v>
      </c>
      <c r="C215" s="35" t="str">
        <f t="shared" si="148"/>
        <v>0</v>
      </c>
      <c r="D215" s="36">
        <f t="shared" si="149"/>
        <v>0</v>
      </c>
      <c r="E215" s="36">
        <f t="shared" si="143"/>
        <v>0</v>
      </c>
      <c r="F215" s="36">
        <f t="shared" si="104"/>
        <v>0</v>
      </c>
      <c r="G215" s="36">
        <f t="shared" si="137"/>
        <v>0</v>
      </c>
      <c r="H215" s="36">
        <f t="shared" si="144"/>
        <v>0</v>
      </c>
      <c r="I215" s="39">
        <f t="shared" si="145"/>
        <v>0</v>
      </c>
      <c r="K215" s="38">
        <f t="shared" si="138"/>
        <v>106</v>
      </c>
      <c r="L215" s="35" t="str">
        <f t="shared" si="150"/>
        <v>0</v>
      </c>
      <c r="M215" s="36">
        <f t="shared" si="151"/>
        <v>0</v>
      </c>
      <c r="N215" s="36">
        <f t="shared" si="146"/>
        <v>0</v>
      </c>
      <c r="O215" s="36">
        <f t="shared" si="107"/>
        <v>0</v>
      </c>
      <c r="P215" s="36">
        <f t="shared" si="118"/>
        <v>0</v>
      </c>
      <c r="Q215" s="36">
        <f t="shared" si="152"/>
        <v>0</v>
      </c>
      <c r="R215" s="39">
        <f t="shared" si="153"/>
        <v>0</v>
      </c>
      <c r="T215" s="38">
        <f t="shared" si="139"/>
        <v>106</v>
      </c>
      <c r="U215" s="35" t="str">
        <f t="shared" si="154"/>
        <v>0</v>
      </c>
      <c r="V215" s="36">
        <f t="shared" si="155"/>
        <v>0</v>
      </c>
      <c r="W215" s="36">
        <f t="shared" si="147"/>
        <v>0</v>
      </c>
      <c r="X215" s="37">
        <f t="shared" si="112"/>
        <v>0</v>
      </c>
      <c r="Y215" s="36">
        <f t="shared" si="119"/>
        <v>0</v>
      </c>
      <c r="Z215" s="36">
        <f t="shared" si="156"/>
        <v>0</v>
      </c>
      <c r="AA215" s="39">
        <f t="shared" si="157"/>
        <v>0</v>
      </c>
      <c r="AB215" s="41"/>
      <c r="AC215" s="38">
        <f t="shared" si="140"/>
        <v>106</v>
      </c>
      <c r="AD215" s="35" t="str">
        <f t="shared" si="120"/>
        <v>0</v>
      </c>
      <c r="AE215" s="36">
        <f t="shared" si="121"/>
        <v>0</v>
      </c>
      <c r="AF215" s="36">
        <f t="shared" si="115"/>
        <v>0</v>
      </c>
      <c r="AG215" s="37">
        <f t="shared" si="96"/>
        <v>0</v>
      </c>
      <c r="AH215" s="36">
        <f t="shared" si="122"/>
        <v>0</v>
      </c>
      <c r="AI215" s="36">
        <f t="shared" si="123"/>
        <v>0</v>
      </c>
      <c r="AJ215" s="39">
        <f t="shared" si="124"/>
        <v>0</v>
      </c>
      <c r="AL215" s="38">
        <f t="shared" si="141"/>
        <v>106</v>
      </c>
      <c r="AM215" s="35" t="str">
        <f t="shared" si="125"/>
        <v>0</v>
      </c>
      <c r="AN215" s="36">
        <f t="shared" si="126"/>
        <v>0</v>
      </c>
      <c r="AO215" s="36">
        <f t="shared" si="116"/>
        <v>0</v>
      </c>
      <c r="AP215" s="37">
        <f t="shared" si="127"/>
        <v>0</v>
      </c>
      <c r="AQ215" s="36">
        <f t="shared" si="128"/>
        <v>0</v>
      </c>
      <c r="AR215" s="36">
        <f t="shared" si="129"/>
        <v>0</v>
      </c>
      <c r="AS215" s="39">
        <f t="shared" si="130"/>
        <v>0</v>
      </c>
      <c r="AU215" s="38">
        <f t="shared" si="142"/>
        <v>106</v>
      </c>
      <c r="AV215" s="35" t="str">
        <f t="shared" si="131"/>
        <v>0</v>
      </c>
      <c r="AW215" s="36">
        <f t="shared" si="132"/>
        <v>0</v>
      </c>
      <c r="AX215" s="36">
        <f t="shared" si="117"/>
        <v>0</v>
      </c>
      <c r="AY215" s="37">
        <f t="shared" si="133"/>
        <v>0</v>
      </c>
      <c r="AZ215" s="36">
        <f t="shared" si="134"/>
        <v>0</v>
      </c>
      <c r="BA215" s="36">
        <f t="shared" si="135"/>
        <v>0</v>
      </c>
      <c r="BB215" s="39">
        <f t="shared" si="136"/>
        <v>0</v>
      </c>
    </row>
    <row r="216" spans="2:54" x14ac:dyDescent="0.2">
      <c r="B216" s="65">
        <v>107</v>
      </c>
      <c r="C216" s="35" t="str">
        <f t="shared" si="148"/>
        <v>0</v>
      </c>
      <c r="D216" s="36">
        <f t="shared" si="149"/>
        <v>0</v>
      </c>
      <c r="E216" s="36">
        <f t="shared" si="143"/>
        <v>0</v>
      </c>
      <c r="F216" s="36">
        <f t="shared" si="104"/>
        <v>0</v>
      </c>
      <c r="G216" s="36">
        <f t="shared" si="137"/>
        <v>0</v>
      </c>
      <c r="H216" s="36">
        <f t="shared" si="144"/>
        <v>0</v>
      </c>
      <c r="I216" s="39">
        <f t="shared" si="145"/>
        <v>0</v>
      </c>
      <c r="K216" s="38">
        <f t="shared" si="138"/>
        <v>107</v>
      </c>
      <c r="L216" s="35" t="str">
        <f t="shared" si="150"/>
        <v>0</v>
      </c>
      <c r="M216" s="36">
        <f t="shared" si="151"/>
        <v>0</v>
      </c>
      <c r="N216" s="36">
        <f t="shared" si="146"/>
        <v>0</v>
      </c>
      <c r="O216" s="36">
        <f t="shared" si="107"/>
        <v>0</v>
      </c>
      <c r="P216" s="36">
        <f t="shared" si="118"/>
        <v>0</v>
      </c>
      <c r="Q216" s="36">
        <f t="shared" si="152"/>
        <v>0</v>
      </c>
      <c r="R216" s="39">
        <f t="shared" si="153"/>
        <v>0</v>
      </c>
      <c r="T216" s="38">
        <f t="shared" si="139"/>
        <v>107</v>
      </c>
      <c r="U216" s="35" t="str">
        <f t="shared" si="154"/>
        <v>0</v>
      </c>
      <c r="V216" s="36">
        <f t="shared" si="155"/>
        <v>0</v>
      </c>
      <c r="W216" s="36">
        <f t="shared" si="147"/>
        <v>0</v>
      </c>
      <c r="X216" s="37">
        <f t="shared" si="112"/>
        <v>0</v>
      </c>
      <c r="Y216" s="36">
        <f t="shared" si="119"/>
        <v>0</v>
      </c>
      <c r="Z216" s="36">
        <f t="shared" si="156"/>
        <v>0</v>
      </c>
      <c r="AA216" s="39">
        <f t="shared" si="157"/>
        <v>0</v>
      </c>
      <c r="AB216" s="41"/>
      <c r="AC216" s="38">
        <f t="shared" si="140"/>
        <v>107</v>
      </c>
      <c r="AD216" s="35" t="str">
        <f t="shared" si="120"/>
        <v>0</v>
      </c>
      <c r="AE216" s="36">
        <f t="shared" si="121"/>
        <v>0</v>
      </c>
      <c r="AF216" s="36">
        <f t="shared" si="115"/>
        <v>0</v>
      </c>
      <c r="AG216" s="37">
        <f t="shared" si="96"/>
        <v>0</v>
      </c>
      <c r="AH216" s="36">
        <f t="shared" si="122"/>
        <v>0</v>
      </c>
      <c r="AI216" s="36">
        <f t="shared" si="123"/>
        <v>0</v>
      </c>
      <c r="AJ216" s="39">
        <f t="shared" si="124"/>
        <v>0</v>
      </c>
      <c r="AL216" s="38">
        <f t="shared" si="141"/>
        <v>107</v>
      </c>
      <c r="AM216" s="35" t="str">
        <f t="shared" si="125"/>
        <v>0</v>
      </c>
      <c r="AN216" s="36">
        <f t="shared" si="126"/>
        <v>0</v>
      </c>
      <c r="AO216" s="36">
        <f t="shared" si="116"/>
        <v>0</v>
      </c>
      <c r="AP216" s="37">
        <f t="shared" si="127"/>
        <v>0</v>
      </c>
      <c r="AQ216" s="36">
        <f t="shared" si="128"/>
        <v>0</v>
      </c>
      <c r="AR216" s="36">
        <f t="shared" si="129"/>
        <v>0</v>
      </c>
      <c r="AS216" s="39">
        <f t="shared" si="130"/>
        <v>0</v>
      </c>
      <c r="AU216" s="38">
        <f t="shared" si="142"/>
        <v>107</v>
      </c>
      <c r="AV216" s="35" t="str">
        <f t="shared" si="131"/>
        <v>0</v>
      </c>
      <c r="AW216" s="36">
        <f t="shared" si="132"/>
        <v>0</v>
      </c>
      <c r="AX216" s="36">
        <f t="shared" si="117"/>
        <v>0</v>
      </c>
      <c r="AY216" s="37">
        <f t="shared" si="133"/>
        <v>0</v>
      </c>
      <c r="AZ216" s="36">
        <f t="shared" si="134"/>
        <v>0</v>
      </c>
      <c r="BA216" s="36">
        <f t="shared" si="135"/>
        <v>0</v>
      </c>
      <c r="BB216" s="39">
        <f t="shared" si="136"/>
        <v>0</v>
      </c>
    </row>
    <row r="217" spans="2:54" x14ac:dyDescent="0.2">
      <c r="B217" s="65">
        <v>108</v>
      </c>
      <c r="C217" s="35" t="str">
        <f t="shared" si="148"/>
        <v>0</v>
      </c>
      <c r="D217" s="36">
        <f t="shared" si="149"/>
        <v>0</v>
      </c>
      <c r="E217" s="36">
        <f t="shared" si="143"/>
        <v>0</v>
      </c>
      <c r="F217" s="36">
        <f t="shared" si="104"/>
        <v>0</v>
      </c>
      <c r="G217" s="36">
        <f t="shared" si="137"/>
        <v>0</v>
      </c>
      <c r="H217" s="36">
        <f t="shared" si="144"/>
        <v>0</v>
      </c>
      <c r="I217" s="39">
        <f t="shared" si="145"/>
        <v>0</v>
      </c>
      <c r="K217" s="38">
        <f t="shared" si="138"/>
        <v>108</v>
      </c>
      <c r="L217" s="35" t="str">
        <f t="shared" si="150"/>
        <v>0</v>
      </c>
      <c r="M217" s="36">
        <f t="shared" si="151"/>
        <v>0</v>
      </c>
      <c r="N217" s="36">
        <f t="shared" si="146"/>
        <v>0</v>
      </c>
      <c r="O217" s="36">
        <f t="shared" si="107"/>
        <v>0</v>
      </c>
      <c r="P217" s="36">
        <f t="shared" si="118"/>
        <v>0</v>
      </c>
      <c r="Q217" s="36">
        <f t="shared" si="152"/>
        <v>0</v>
      </c>
      <c r="R217" s="39">
        <f t="shared" si="153"/>
        <v>0</v>
      </c>
      <c r="T217" s="38">
        <f t="shared" si="139"/>
        <v>108</v>
      </c>
      <c r="U217" s="35" t="str">
        <f t="shared" si="154"/>
        <v>0</v>
      </c>
      <c r="V217" s="36">
        <f t="shared" si="155"/>
        <v>0</v>
      </c>
      <c r="W217" s="36">
        <f t="shared" si="147"/>
        <v>0</v>
      </c>
      <c r="X217" s="37">
        <f t="shared" si="112"/>
        <v>0</v>
      </c>
      <c r="Y217" s="36">
        <f t="shared" si="119"/>
        <v>0</v>
      </c>
      <c r="Z217" s="36">
        <f t="shared" si="156"/>
        <v>0</v>
      </c>
      <c r="AA217" s="39">
        <f t="shared" si="157"/>
        <v>0</v>
      </c>
      <c r="AB217" s="41"/>
      <c r="AC217" s="38">
        <f t="shared" si="140"/>
        <v>108</v>
      </c>
      <c r="AD217" s="35" t="str">
        <f t="shared" si="120"/>
        <v>0</v>
      </c>
      <c r="AE217" s="36">
        <f t="shared" si="121"/>
        <v>0</v>
      </c>
      <c r="AF217" s="36">
        <f t="shared" si="115"/>
        <v>0</v>
      </c>
      <c r="AG217" s="37">
        <f t="shared" si="96"/>
        <v>0</v>
      </c>
      <c r="AH217" s="36">
        <f t="shared" si="122"/>
        <v>0</v>
      </c>
      <c r="AI217" s="36">
        <f t="shared" si="123"/>
        <v>0</v>
      </c>
      <c r="AJ217" s="39">
        <f t="shared" si="124"/>
        <v>0</v>
      </c>
      <c r="AL217" s="38">
        <f t="shared" si="141"/>
        <v>108</v>
      </c>
      <c r="AM217" s="35" t="str">
        <f t="shared" si="125"/>
        <v>0</v>
      </c>
      <c r="AN217" s="36">
        <f t="shared" si="126"/>
        <v>0</v>
      </c>
      <c r="AO217" s="36">
        <f t="shared" si="116"/>
        <v>0</v>
      </c>
      <c r="AP217" s="37">
        <f t="shared" si="127"/>
        <v>0</v>
      </c>
      <c r="AQ217" s="36">
        <f t="shared" si="128"/>
        <v>0</v>
      </c>
      <c r="AR217" s="36">
        <f t="shared" si="129"/>
        <v>0</v>
      </c>
      <c r="AS217" s="39">
        <f t="shared" si="130"/>
        <v>0</v>
      </c>
      <c r="AU217" s="38">
        <f t="shared" si="142"/>
        <v>108</v>
      </c>
      <c r="AV217" s="35" t="str">
        <f t="shared" si="131"/>
        <v>0</v>
      </c>
      <c r="AW217" s="36">
        <f t="shared" si="132"/>
        <v>0</v>
      </c>
      <c r="AX217" s="36">
        <f t="shared" si="117"/>
        <v>0</v>
      </c>
      <c r="AY217" s="37">
        <f t="shared" si="133"/>
        <v>0</v>
      </c>
      <c r="AZ217" s="36">
        <f t="shared" si="134"/>
        <v>0</v>
      </c>
      <c r="BA217" s="36">
        <f t="shared" si="135"/>
        <v>0</v>
      </c>
      <c r="BB217" s="39">
        <f t="shared" si="136"/>
        <v>0</v>
      </c>
    </row>
    <row r="218" spans="2:54" x14ac:dyDescent="0.2">
      <c r="B218" s="65">
        <v>109</v>
      </c>
      <c r="C218" s="35" t="str">
        <f t="shared" si="148"/>
        <v>0</v>
      </c>
      <c r="D218" s="36">
        <f t="shared" si="149"/>
        <v>0</v>
      </c>
      <c r="E218" s="36">
        <f t="shared" si="143"/>
        <v>0</v>
      </c>
      <c r="F218" s="36">
        <f t="shared" si="104"/>
        <v>0</v>
      </c>
      <c r="G218" s="36">
        <f t="shared" si="137"/>
        <v>0</v>
      </c>
      <c r="H218" s="36">
        <f t="shared" si="144"/>
        <v>0</v>
      </c>
      <c r="I218" s="39">
        <f t="shared" si="145"/>
        <v>0</v>
      </c>
      <c r="K218" s="38">
        <f t="shared" si="138"/>
        <v>109</v>
      </c>
      <c r="L218" s="35" t="str">
        <f t="shared" si="150"/>
        <v>0</v>
      </c>
      <c r="M218" s="36">
        <f t="shared" si="151"/>
        <v>0</v>
      </c>
      <c r="N218" s="36">
        <f t="shared" si="146"/>
        <v>0</v>
      </c>
      <c r="O218" s="36">
        <f t="shared" si="107"/>
        <v>0</v>
      </c>
      <c r="P218" s="36">
        <f t="shared" si="118"/>
        <v>0</v>
      </c>
      <c r="Q218" s="36">
        <f t="shared" si="152"/>
        <v>0</v>
      </c>
      <c r="R218" s="39">
        <f t="shared" si="153"/>
        <v>0</v>
      </c>
      <c r="T218" s="38">
        <f t="shared" si="139"/>
        <v>109</v>
      </c>
      <c r="U218" s="35" t="str">
        <f t="shared" si="154"/>
        <v>0</v>
      </c>
      <c r="V218" s="36">
        <f t="shared" si="155"/>
        <v>0</v>
      </c>
      <c r="W218" s="36">
        <f t="shared" si="147"/>
        <v>0</v>
      </c>
      <c r="X218" s="37">
        <f t="shared" si="112"/>
        <v>0</v>
      </c>
      <c r="Y218" s="36">
        <f t="shared" si="119"/>
        <v>0</v>
      </c>
      <c r="Z218" s="36">
        <f t="shared" si="156"/>
        <v>0</v>
      </c>
      <c r="AA218" s="39">
        <f t="shared" si="157"/>
        <v>0</v>
      </c>
      <c r="AB218" s="41"/>
      <c r="AC218" s="38">
        <f t="shared" si="140"/>
        <v>109</v>
      </c>
      <c r="AD218" s="35" t="str">
        <f t="shared" si="120"/>
        <v>0</v>
      </c>
      <c r="AE218" s="36">
        <f t="shared" si="121"/>
        <v>0</v>
      </c>
      <c r="AF218" s="36">
        <f t="shared" si="115"/>
        <v>0</v>
      </c>
      <c r="AG218" s="37">
        <f t="shared" si="96"/>
        <v>0</v>
      </c>
      <c r="AH218" s="36">
        <f t="shared" si="122"/>
        <v>0</v>
      </c>
      <c r="AI218" s="36">
        <f t="shared" si="123"/>
        <v>0</v>
      </c>
      <c r="AJ218" s="39">
        <f t="shared" si="124"/>
        <v>0</v>
      </c>
      <c r="AL218" s="38">
        <f t="shared" si="141"/>
        <v>109</v>
      </c>
      <c r="AM218" s="35" t="str">
        <f t="shared" si="125"/>
        <v>0</v>
      </c>
      <c r="AN218" s="36">
        <f t="shared" si="126"/>
        <v>0</v>
      </c>
      <c r="AO218" s="36">
        <f t="shared" si="116"/>
        <v>0</v>
      </c>
      <c r="AP218" s="37">
        <f t="shared" si="127"/>
        <v>0</v>
      </c>
      <c r="AQ218" s="36">
        <f t="shared" si="128"/>
        <v>0</v>
      </c>
      <c r="AR218" s="36">
        <f t="shared" si="129"/>
        <v>0</v>
      </c>
      <c r="AS218" s="39">
        <f t="shared" si="130"/>
        <v>0</v>
      </c>
      <c r="AU218" s="38">
        <f t="shared" si="142"/>
        <v>109</v>
      </c>
      <c r="AV218" s="35" t="str">
        <f t="shared" si="131"/>
        <v>0</v>
      </c>
      <c r="AW218" s="36">
        <f t="shared" si="132"/>
        <v>0</v>
      </c>
      <c r="AX218" s="36">
        <f t="shared" si="117"/>
        <v>0</v>
      </c>
      <c r="AY218" s="37">
        <f t="shared" si="133"/>
        <v>0</v>
      </c>
      <c r="AZ218" s="36">
        <f t="shared" si="134"/>
        <v>0</v>
      </c>
      <c r="BA218" s="36">
        <f t="shared" si="135"/>
        <v>0</v>
      </c>
      <c r="BB218" s="39">
        <f t="shared" si="136"/>
        <v>0</v>
      </c>
    </row>
    <row r="219" spans="2:54" x14ac:dyDescent="0.2">
      <c r="B219" s="65">
        <v>110</v>
      </c>
      <c r="C219" s="35" t="str">
        <f t="shared" si="148"/>
        <v>0</v>
      </c>
      <c r="D219" s="36">
        <f t="shared" si="149"/>
        <v>0</v>
      </c>
      <c r="E219" s="36">
        <f t="shared" si="143"/>
        <v>0</v>
      </c>
      <c r="F219" s="36">
        <f t="shared" si="104"/>
        <v>0</v>
      </c>
      <c r="G219" s="36">
        <f t="shared" si="137"/>
        <v>0</v>
      </c>
      <c r="H219" s="36">
        <f t="shared" si="144"/>
        <v>0</v>
      </c>
      <c r="I219" s="39">
        <f t="shared" si="145"/>
        <v>0</v>
      </c>
      <c r="K219" s="38">
        <f t="shared" si="138"/>
        <v>110</v>
      </c>
      <c r="L219" s="35" t="str">
        <f t="shared" si="150"/>
        <v>0</v>
      </c>
      <c r="M219" s="36">
        <f t="shared" si="151"/>
        <v>0</v>
      </c>
      <c r="N219" s="36">
        <f t="shared" si="146"/>
        <v>0</v>
      </c>
      <c r="O219" s="36">
        <f t="shared" si="107"/>
        <v>0</v>
      </c>
      <c r="P219" s="36">
        <f t="shared" si="118"/>
        <v>0</v>
      </c>
      <c r="Q219" s="36">
        <f t="shared" si="152"/>
        <v>0</v>
      </c>
      <c r="R219" s="39">
        <f t="shared" si="153"/>
        <v>0</v>
      </c>
      <c r="T219" s="38">
        <f t="shared" si="139"/>
        <v>110</v>
      </c>
      <c r="U219" s="35" t="str">
        <f t="shared" si="154"/>
        <v>0</v>
      </c>
      <c r="V219" s="36">
        <f t="shared" si="155"/>
        <v>0</v>
      </c>
      <c r="W219" s="36">
        <f t="shared" si="147"/>
        <v>0</v>
      </c>
      <c r="X219" s="37">
        <f t="shared" si="112"/>
        <v>0</v>
      </c>
      <c r="Y219" s="36">
        <f t="shared" si="119"/>
        <v>0</v>
      </c>
      <c r="Z219" s="36">
        <f t="shared" si="156"/>
        <v>0</v>
      </c>
      <c r="AA219" s="39">
        <f t="shared" si="157"/>
        <v>0</v>
      </c>
      <c r="AB219" s="41"/>
      <c r="AC219" s="38">
        <f t="shared" si="140"/>
        <v>110</v>
      </c>
      <c r="AD219" s="35" t="str">
        <f t="shared" si="120"/>
        <v>0</v>
      </c>
      <c r="AE219" s="36">
        <f t="shared" si="121"/>
        <v>0</v>
      </c>
      <c r="AF219" s="36">
        <f t="shared" si="115"/>
        <v>0</v>
      </c>
      <c r="AG219" s="37">
        <f t="shared" si="96"/>
        <v>0</v>
      </c>
      <c r="AH219" s="36">
        <f t="shared" si="122"/>
        <v>0</v>
      </c>
      <c r="AI219" s="36">
        <f t="shared" si="123"/>
        <v>0</v>
      </c>
      <c r="AJ219" s="39">
        <f t="shared" si="124"/>
        <v>0</v>
      </c>
      <c r="AL219" s="38">
        <f t="shared" si="141"/>
        <v>110</v>
      </c>
      <c r="AM219" s="35" t="str">
        <f t="shared" si="125"/>
        <v>0</v>
      </c>
      <c r="AN219" s="36">
        <f t="shared" si="126"/>
        <v>0</v>
      </c>
      <c r="AO219" s="36">
        <f t="shared" si="116"/>
        <v>0</v>
      </c>
      <c r="AP219" s="37">
        <f t="shared" si="127"/>
        <v>0</v>
      </c>
      <c r="AQ219" s="36">
        <f t="shared" si="128"/>
        <v>0</v>
      </c>
      <c r="AR219" s="36">
        <f t="shared" si="129"/>
        <v>0</v>
      </c>
      <c r="AS219" s="39">
        <f t="shared" si="130"/>
        <v>0</v>
      </c>
      <c r="AU219" s="38">
        <f t="shared" si="142"/>
        <v>110</v>
      </c>
      <c r="AV219" s="35" t="str">
        <f t="shared" si="131"/>
        <v>0</v>
      </c>
      <c r="AW219" s="36">
        <f t="shared" si="132"/>
        <v>0</v>
      </c>
      <c r="AX219" s="36">
        <f t="shared" si="117"/>
        <v>0</v>
      </c>
      <c r="AY219" s="37">
        <f t="shared" si="133"/>
        <v>0</v>
      </c>
      <c r="AZ219" s="36">
        <f t="shared" si="134"/>
        <v>0</v>
      </c>
      <c r="BA219" s="36">
        <f t="shared" si="135"/>
        <v>0</v>
      </c>
      <c r="BB219" s="39">
        <f t="shared" si="136"/>
        <v>0</v>
      </c>
    </row>
    <row r="220" spans="2:54" x14ac:dyDescent="0.2">
      <c r="B220" s="65">
        <v>111</v>
      </c>
      <c r="C220" s="35" t="str">
        <f t="shared" si="148"/>
        <v>0</v>
      </c>
      <c r="D220" s="36">
        <f t="shared" si="149"/>
        <v>0</v>
      </c>
      <c r="E220" s="36">
        <f t="shared" si="143"/>
        <v>0</v>
      </c>
      <c r="F220" s="36">
        <f t="shared" si="104"/>
        <v>0</v>
      </c>
      <c r="G220" s="36">
        <f t="shared" si="137"/>
        <v>0</v>
      </c>
      <c r="H220" s="36">
        <f t="shared" si="144"/>
        <v>0</v>
      </c>
      <c r="I220" s="39">
        <f t="shared" si="145"/>
        <v>0</v>
      </c>
      <c r="K220" s="38">
        <f t="shared" si="138"/>
        <v>111</v>
      </c>
      <c r="L220" s="35" t="str">
        <f t="shared" si="150"/>
        <v>0</v>
      </c>
      <c r="M220" s="36">
        <f t="shared" si="151"/>
        <v>0</v>
      </c>
      <c r="N220" s="36">
        <f t="shared" si="146"/>
        <v>0</v>
      </c>
      <c r="O220" s="36">
        <f t="shared" si="107"/>
        <v>0</v>
      </c>
      <c r="P220" s="36">
        <f t="shared" si="118"/>
        <v>0</v>
      </c>
      <c r="Q220" s="36">
        <f t="shared" si="152"/>
        <v>0</v>
      </c>
      <c r="R220" s="39">
        <f t="shared" si="153"/>
        <v>0</v>
      </c>
      <c r="T220" s="38">
        <f t="shared" si="139"/>
        <v>111</v>
      </c>
      <c r="U220" s="35" t="str">
        <f t="shared" si="154"/>
        <v>0</v>
      </c>
      <c r="V220" s="36">
        <f t="shared" si="155"/>
        <v>0</v>
      </c>
      <c r="W220" s="36">
        <f t="shared" si="147"/>
        <v>0</v>
      </c>
      <c r="X220" s="37">
        <f t="shared" si="112"/>
        <v>0</v>
      </c>
      <c r="Y220" s="36">
        <f t="shared" si="119"/>
        <v>0</v>
      </c>
      <c r="Z220" s="36">
        <f t="shared" si="156"/>
        <v>0</v>
      </c>
      <c r="AA220" s="39">
        <f t="shared" si="157"/>
        <v>0</v>
      </c>
      <c r="AB220" s="41"/>
      <c r="AC220" s="38">
        <f t="shared" si="140"/>
        <v>111</v>
      </c>
      <c r="AD220" s="35" t="str">
        <f t="shared" si="120"/>
        <v>0</v>
      </c>
      <c r="AE220" s="36">
        <f t="shared" si="121"/>
        <v>0</v>
      </c>
      <c r="AF220" s="36">
        <f t="shared" si="115"/>
        <v>0</v>
      </c>
      <c r="AG220" s="37">
        <f t="shared" si="96"/>
        <v>0</v>
      </c>
      <c r="AH220" s="36">
        <f t="shared" si="122"/>
        <v>0</v>
      </c>
      <c r="AI220" s="36">
        <f t="shared" si="123"/>
        <v>0</v>
      </c>
      <c r="AJ220" s="39">
        <f t="shared" si="124"/>
        <v>0</v>
      </c>
      <c r="AL220" s="38">
        <f t="shared" si="141"/>
        <v>111</v>
      </c>
      <c r="AM220" s="35" t="str">
        <f t="shared" si="125"/>
        <v>0</v>
      </c>
      <c r="AN220" s="36">
        <f t="shared" si="126"/>
        <v>0</v>
      </c>
      <c r="AO220" s="36">
        <f t="shared" si="116"/>
        <v>0</v>
      </c>
      <c r="AP220" s="37">
        <f t="shared" si="127"/>
        <v>0</v>
      </c>
      <c r="AQ220" s="36">
        <f t="shared" si="128"/>
        <v>0</v>
      </c>
      <c r="AR220" s="36">
        <f t="shared" si="129"/>
        <v>0</v>
      </c>
      <c r="AS220" s="39">
        <f t="shared" si="130"/>
        <v>0</v>
      </c>
      <c r="AU220" s="38">
        <f t="shared" si="142"/>
        <v>111</v>
      </c>
      <c r="AV220" s="35" t="str">
        <f t="shared" si="131"/>
        <v>0</v>
      </c>
      <c r="AW220" s="36">
        <f t="shared" si="132"/>
        <v>0</v>
      </c>
      <c r="AX220" s="36">
        <f t="shared" si="117"/>
        <v>0</v>
      </c>
      <c r="AY220" s="37">
        <f t="shared" si="133"/>
        <v>0</v>
      </c>
      <c r="AZ220" s="36">
        <f t="shared" si="134"/>
        <v>0</v>
      </c>
      <c r="BA220" s="36">
        <f t="shared" si="135"/>
        <v>0</v>
      </c>
      <c r="BB220" s="39">
        <f t="shared" si="136"/>
        <v>0</v>
      </c>
    </row>
    <row r="221" spans="2:54" x14ac:dyDescent="0.2">
      <c r="B221" s="65">
        <v>112</v>
      </c>
      <c r="C221" s="35" t="str">
        <f t="shared" si="148"/>
        <v>0</v>
      </c>
      <c r="D221" s="36">
        <f t="shared" si="149"/>
        <v>0</v>
      </c>
      <c r="E221" s="36">
        <f t="shared" si="143"/>
        <v>0</v>
      </c>
      <c r="F221" s="36">
        <f t="shared" si="104"/>
        <v>0</v>
      </c>
      <c r="G221" s="36">
        <f t="shared" si="137"/>
        <v>0</v>
      </c>
      <c r="H221" s="36">
        <f t="shared" si="144"/>
        <v>0</v>
      </c>
      <c r="I221" s="39">
        <f t="shared" si="145"/>
        <v>0</v>
      </c>
      <c r="K221" s="38">
        <f t="shared" si="138"/>
        <v>112</v>
      </c>
      <c r="L221" s="35" t="str">
        <f t="shared" si="150"/>
        <v>0</v>
      </c>
      <c r="M221" s="36">
        <f t="shared" si="151"/>
        <v>0</v>
      </c>
      <c r="N221" s="36">
        <f t="shared" si="146"/>
        <v>0</v>
      </c>
      <c r="O221" s="36">
        <f t="shared" si="107"/>
        <v>0</v>
      </c>
      <c r="P221" s="36">
        <f t="shared" si="118"/>
        <v>0</v>
      </c>
      <c r="Q221" s="36">
        <f t="shared" si="152"/>
        <v>0</v>
      </c>
      <c r="R221" s="39">
        <f t="shared" si="153"/>
        <v>0</v>
      </c>
      <c r="T221" s="38">
        <f t="shared" si="139"/>
        <v>112</v>
      </c>
      <c r="U221" s="35" t="str">
        <f t="shared" si="154"/>
        <v>0</v>
      </c>
      <c r="V221" s="36">
        <f t="shared" si="155"/>
        <v>0</v>
      </c>
      <c r="W221" s="36">
        <f t="shared" si="147"/>
        <v>0</v>
      </c>
      <c r="X221" s="37">
        <f t="shared" si="112"/>
        <v>0</v>
      </c>
      <c r="Y221" s="36">
        <f t="shared" si="119"/>
        <v>0</v>
      </c>
      <c r="Z221" s="36">
        <f t="shared" si="156"/>
        <v>0</v>
      </c>
      <c r="AA221" s="39">
        <f t="shared" si="157"/>
        <v>0</v>
      </c>
      <c r="AB221" s="41"/>
      <c r="AC221" s="38">
        <f t="shared" si="140"/>
        <v>112</v>
      </c>
      <c r="AD221" s="35" t="str">
        <f t="shared" si="120"/>
        <v>0</v>
      </c>
      <c r="AE221" s="36">
        <f t="shared" si="121"/>
        <v>0</v>
      </c>
      <c r="AF221" s="36">
        <f t="shared" si="115"/>
        <v>0</v>
      </c>
      <c r="AG221" s="37">
        <f t="shared" si="96"/>
        <v>0</v>
      </c>
      <c r="AH221" s="36">
        <f t="shared" si="122"/>
        <v>0</v>
      </c>
      <c r="AI221" s="36">
        <f t="shared" si="123"/>
        <v>0</v>
      </c>
      <c r="AJ221" s="39">
        <f t="shared" si="124"/>
        <v>0</v>
      </c>
      <c r="AL221" s="38">
        <f t="shared" si="141"/>
        <v>112</v>
      </c>
      <c r="AM221" s="35" t="str">
        <f t="shared" si="125"/>
        <v>0</v>
      </c>
      <c r="AN221" s="36">
        <f t="shared" si="126"/>
        <v>0</v>
      </c>
      <c r="AO221" s="36">
        <f t="shared" si="116"/>
        <v>0</v>
      </c>
      <c r="AP221" s="37">
        <f t="shared" si="127"/>
        <v>0</v>
      </c>
      <c r="AQ221" s="36">
        <f t="shared" si="128"/>
        <v>0</v>
      </c>
      <c r="AR221" s="36">
        <f t="shared" si="129"/>
        <v>0</v>
      </c>
      <c r="AS221" s="39">
        <f t="shared" si="130"/>
        <v>0</v>
      </c>
      <c r="AU221" s="38">
        <f t="shared" si="142"/>
        <v>112</v>
      </c>
      <c r="AV221" s="35" t="str">
        <f t="shared" si="131"/>
        <v>0</v>
      </c>
      <c r="AW221" s="36">
        <f t="shared" si="132"/>
        <v>0</v>
      </c>
      <c r="AX221" s="36">
        <f t="shared" si="117"/>
        <v>0</v>
      </c>
      <c r="AY221" s="37">
        <f t="shared" si="133"/>
        <v>0</v>
      </c>
      <c r="AZ221" s="36">
        <f t="shared" si="134"/>
        <v>0</v>
      </c>
      <c r="BA221" s="36">
        <f t="shared" si="135"/>
        <v>0</v>
      </c>
      <c r="BB221" s="39">
        <f t="shared" si="136"/>
        <v>0</v>
      </c>
    </row>
    <row r="222" spans="2:54" x14ac:dyDescent="0.2">
      <c r="B222" s="65">
        <v>113</v>
      </c>
      <c r="C222" s="35" t="str">
        <f t="shared" si="148"/>
        <v>0</v>
      </c>
      <c r="D222" s="36">
        <f t="shared" si="149"/>
        <v>0</v>
      </c>
      <c r="E222" s="36">
        <f t="shared" si="143"/>
        <v>0</v>
      </c>
      <c r="F222" s="36">
        <f t="shared" si="104"/>
        <v>0</v>
      </c>
      <c r="G222" s="36">
        <f t="shared" si="137"/>
        <v>0</v>
      </c>
      <c r="H222" s="36">
        <f t="shared" si="144"/>
        <v>0</v>
      </c>
      <c r="I222" s="39">
        <f t="shared" si="145"/>
        <v>0</v>
      </c>
      <c r="K222" s="38">
        <f t="shared" si="138"/>
        <v>113</v>
      </c>
      <c r="L222" s="35" t="str">
        <f t="shared" si="150"/>
        <v>0</v>
      </c>
      <c r="M222" s="36">
        <f t="shared" si="151"/>
        <v>0</v>
      </c>
      <c r="N222" s="36">
        <f t="shared" si="146"/>
        <v>0</v>
      </c>
      <c r="O222" s="36">
        <f t="shared" si="107"/>
        <v>0</v>
      </c>
      <c r="P222" s="36">
        <f t="shared" si="118"/>
        <v>0</v>
      </c>
      <c r="Q222" s="36">
        <f t="shared" si="152"/>
        <v>0</v>
      </c>
      <c r="R222" s="39">
        <f t="shared" si="153"/>
        <v>0</v>
      </c>
      <c r="T222" s="38">
        <f t="shared" si="139"/>
        <v>113</v>
      </c>
      <c r="U222" s="35" t="str">
        <f t="shared" si="154"/>
        <v>0</v>
      </c>
      <c r="V222" s="36">
        <f t="shared" si="155"/>
        <v>0</v>
      </c>
      <c r="W222" s="36">
        <f t="shared" si="147"/>
        <v>0</v>
      </c>
      <c r="X222" s="37">
        <f t="shared" si="112"/>
        <v>0</v>
      </c>
      <c r="Y222" s="36">
        <f t="shared" si="119"/>
        <v>0</v>
      </c>
      <c r="Z222" s="36">
        <f t="shared" si="156"/>
        <v>0</v>
      </c>
      <c r="AA222" s="39">
        <f t="shared" si="157"/>
        <v>0</v>
      </c>
      <c r="AB222" s="41"/>
      <c r="AC222" s="38">
        <f t="shared" si="140"/>
        <v>113</v>
      </c>
      <c r="AD222" s="35" t="str">
        <f t="shared" si="120"/>
        <v>0</v>
      </c>
      <c r="AE222" s="36">
        <f t="shared" si="121"/>
        <v>0</v>
      </c>
      <c r="AF222" s="36">
        <f t="shared" si="115"/>
        <v>0</v>
      </c>
      <c r="AG222" s="37">
        <f t="shared" si="96"/>
        <v>0</v>
      </c>
      <c r="AH222" s="36">
        <f t="shared" si="122"/>
        <v>0</v>
      </c>
      <c r="AI222" s="36">
        <f t="shared" si="123"/>
        <v>0</v>
      </c>
      <c r="AJ222" s="39">
        <f t="shared" si="124"/>
        <v>0</v>
      </c>
      <c r="AL222" s="38">
        <f t="shared" si="141"/>
        <v>113</v>
      </c>
      <c r="AM222" s="35" t="str">
        <f t="shared" si="125"/>
        <v>0</v>
      </c>
      <c r="AN222" s="36">
        <f t="shared" si="126"/>
        <v>0</v>
      </c>
      <c r="AO222" s="36">
        <f t="shared" si="116"/>
        <v>0</v>
      </c>
      <c r="AP222" s="37">
        <f t="shared" si="127"/>
        <v>0</v>
      </c>
      <c r="AQ222" s="36">
        <f t="shared" si="128"/>
        <v>0</v>
      </c>
      <c r="AR222" s="36">
        <f t="shared" si="129"/>
        <v>0</v>
      </c>
      <c r="AS222" s="39">
        <f t="shared" si="130"/>
        <v>0</v>
      </c>
      <c r="AU222" s="38">
        <f t="shared" si="142"/>
        <v>113</v>
      </c>
      <c r="AV222" s="35" t="str">
        <f t="shared" si="131"/>
        <v>0</v>
      </c>
      <c r="AW222" s="36">
        <f t="shared" si="132"/>
        <v>0</v>
      </c>
      <c r="AX222" s="36">
        <f t="shared" si="117"/>
        <v>0</v>
      </c>
      <c r="AY222" s="37">
        <f t="shared" si="133"/>
        <v>0</v>
      </c>
      <c r="AZ222" s="36">
        <f t="shared" si="134"/>
        <v>0</v>
      </c>
      <c r="BA222" s="36">
        <f t="shared" si="135"/>
        <v>0</v>
      </c>
      <c r="BB222" s="39">
        <f t="shared" si="136"/>
        <v>0</v>
      </c>
    </row>
    <row r="223" spans="2:54" x14ac:dyDescent="0.2">
      <c r="B223" s="65">
        <v>114</v>
      </c>
      <c r="C223" s="35" t="str">
        <f t="shared" si="148"/>
        <v>0</v>
      </c>
      <c r="D223" s="36">
        <f t="shared" si="149"/>
        <v>0</v>
      </c>
      <c r="E223" s="36">
        <f t="shared" si="143"/>
        <v>0</v>
      </c>
      <c r="F223" s="36">
        <f t="shared" si="104"/>
        <v>0</v>
      </c>
      <c r="G223" s="36">
        <f t="shared" si="137"/>
        <v>0</v>
      </c>
      <c r="H223" s="36">
        <f t="shared" si="144"/>
        <v>0</v>
      </c>
      <c r="I223" s="39">
        <f t="shared" si="145"/>
        <v>0</v>
      </c>
      <c r="K223" s="38">
        <f t="shared" si="138"/>
        <v>114</v>
      </c>
      <c r="L223" s="35" t="str">
        <f t="shared" si="150"/>
        <v>0</v>
      </c>
      <c r="M223" s="36">
        <f t="shared" si="151"/>
        <v>0</v>
      </c>
      <c r="N223" s="36">
        <f t="shared" si="146"/>
        <v>0</v>
      </c>
      <c r="O223" s="36">
        <f t="shared" si="107"/>
        <v>0</v>
      </c>
      <c r="P223" s="36">
        <f t="shared" si="118"/>
        <v>0</v>
      </c>
      <c r="Q223" s="36">
        <f t="shared" si="152"/>
        <v>0</v>
      </c>
      <c r="R223" s="39">
        <f t="shared" si="153"/>
        <v>0</v>
      </c>
      <c r="T223" s="38">
        <f t="shared" si="139"/>
        <v>114</v>
      </c>
      <c r="U223" s="35" t="str">
        <f t="shared" si="154"/>
        <v>0</v>
      </c>
      <c r="V223" s="36">
        <f t="shared" si="155"/>
        <v>0</v>
      </c>
      <c r="W223" s="36">
        <f t="shared" si="147"/>
        <v>0</v>
      </c>
      <c r="X223" s="37">
        <f t="shared" si="112"/>
        <v>0</v>
      </c>
      <c r="Y223" s="36">
        <f t="shared" si="119"/>
        <v>0</v>
      </c>
      <c r="Z223" s="36">
        <f t="shared" si="156"/>
        <v>0</v>
      </c>
      <c r="AA223" s="39">
        <f t="shared" si="157"/>
        <v>0</v>
      </c>
      <c r="AB223" s="41"/>
      <c r="AC223" s="38">
        <f t="shared" si="140"/>
        <v>114</v>
      </c>
      <c r="AD223" s="35" t="str">
        <f t="shared" si="120"/>
        <v>0</v>
      </c>
      <c r="AE223" s="36">
        <f t="shared" si="121"/>
        <v>0</v>
      </c>
      <c r="AF223" s="36">
        <f t="shared" si="115"/>
        <v>0</v>
      </c>
      <c r="AG223" s="37">
        <f t="shared" si="96"/>
        <v>0</v>
      </c>
      <c r="AH223" s="36">
        <f t="shared" si="122"/>
        <v>0</v>
      </c>
      <c r="AI223" s="36">
        <f t="shared" si="123"/>
        <v>0</v>
      </c>
      <c r="AJ223" s="39">
        <f t="shared" si="124"/>
        <v>0</v>
      </c>
      <c r="AL223" s="38">
        <f t="shared" si="141"/>
        <v>114</v>
      </c>
      <c r="AM223" s="35" t="str">
        <f t="shared" si="125"/>
        <v>0</v>
      </c>
      <c r="AN223" s="36">
        <f t="shared" si="126"/>
        <v>0</v>
      </c>
      <c r="AO223" s="36">
        <f t="shared" si="116"/>
        <v>0</v>
      </c>
      <c r="AP223" s="37">
        <f t="shared" si="127"/>
        <v>0</v>
      </c>
      <c r="AQ223" s="36">
        <f t="shared" si="128"/>
        <v>0</v>
      </c>
      <c r="AR223" s="36">
        <f t="shared" si="129"/>
        <v>0</v>
      </c>
      <c r="AS223" s="39">
        <f t="shared" si="130"/>
        <v>0</v>
      </c>
      <c r="AU223" s="38">
        <f t="shared" si="142"/>
        <v>114</v>
      </c>
      <c r="AV223" s="35" t="str">
        <f t="shared" si="131"/>
        <v>0</v>
      </c>
      <c r="AW223" s="36">
        <f t="shared" si="132"/>
        <v>0</v>
      </c>
      <c r="AX223" s="36">
        <f t="shared" si="117"/>
        <v>0</v>
      </c>
      <c r="AY223" s="37">
        <f t="shared" si="133"/>
        <v>0</v>
      </c>
      <c r="AZ223" s="36">
        <f t="shared" si="134"/>
        <v>0</v>
      </c>
      <c r="BA223" s="36">
        <f t="shared" si="135"/>
        <v>0</v>
      </c>
      <c r="BB223" s="39">
        <f t="shared" si="136"/>
        <v>0</v>
      </c>
    </row>
    <row r="224" spans="2:54" x14ac:dyDescent="0.2">
      <c r="B224" s="65">
        <v>115</v>
      </c>
      <c r="C224" s="35" t="str">
        <f t="shared" si="148"/>
        <v>0</v>
      </c>
      <c r="D224" s="36">
        <f t="shared" si="149"/>
        <v>0</v>
      </c>
      <c r="E224" s="36">
        <f t="shared" si="143"/>
        <v>0</v>
      </c>
      <c r="F224" s="36">
        <f t="shared" si="104"/>
        <v>0</v>
      </c>
      <c r="G224" s="36">
        <f t="shared" si="137"/>
        <v>0</v>
      </c>
      <c r="H224" s="36">
        <f t="shared" si="144"/>
        <v>0</v>
      </c>
      <c r="I224" s="39">
        <f t="shared" si="145"/>
        <v>0</v>
      </c>
      <c r="K224" s="38">
        <f t="shared" si="138"/>
        <v>115</v>
      </c>
      <c r="L224" s="35" t="str">
        <f t="shared" si="150"/>
        <v>0</v>
      </c>
      <c r="M224" s="36">
        <f t="shared" si="151"/>
        <v>0</v>
      </c>
      <c r="N224" s="36">
        <f t="shared" si="146"/>
        <v>0</v>
      </c>
      <c r="O224" s="36">
        <f t="shared" si="107"/>
        <v>0</v>
      </c>
      <c r="P224" s="36">
        <f t="shared" si="118"/>
        <v>0</v>
      </c>
      <c r="Q224" s="36">
        <f t="shared" si="152"/>
        <v>0</v>
      </c>
      <c r="R224" s="39">
        <f t="shared" si="153"/>
        <v>0</v>
      </c>
      <c r="T224" s="38">
        <f t="shared" si="139"/>
        <v>115</v>
      </c>
      <c r="U224" s="35" t="str">
        <f t="shared" si="154"/>
        <v>0</v>
      </c>
      <c r="V224" s="36">
        <f t="shared" si="155"/>
        <v>0</v>
      </c>
      <c r="W224" s="36">
        <f t="shared" si="147"/>
        <v>0</v>
      </c>
      <c r="X224" s="37">
        <f t="shared" si="112"/>
        <v>0</v>
      </c>
      <c r="Y224" s="36">
        <f t="shared" si="119"/>
        <v>0</v>
      </c>
      <c r="Z224" s="36">
        <f t="shared" si="156"/>
        <v>0</v>
      </c>
      <c r="AA224" s="39">
        <f t="shared" si="157"/>
        <v>0</v>
      </c>
      <c r="AB224" s="41"/>
      <c r="AC224" s="38">
        <f t="shared" si="140"/>
        <v>115</v>
      </c>
      <c r="AD224" s="35" t="str">
        <f t="shared" si="120"/>
        <v>0</v>
      </c>
      <c r="AE224" s="36">
        <f t="shared" si="121"/>
        <v>0</v>
      </c>
      <c r="AF224" s="36">
        <f t="shared" si="115"/>
        <v>0</v>
      </c>
      <c r="AG224" s="37">
        <f t="shared" si="96"/>
        <v>0</v>
      </c>
      <c r="AH224" s="36">
        <f t="shared" si="122"/>
        <v>0</v>
      </c>
      <c r="AI224" s="36">
        <f t="shared" si="123"/>
        <v>0</v>
      </c>
      <c r="AJ224" s="39">
        <f t="shared" si="124"/>
        <v>0</v>
      </c>
      <c r="AL224" s="38">
        <f t="shared" si="141"/>
        <v>115</v>
      </c>
      <c r="AM224" s="35" t="str">
        <f t="shared" si="125"/>
        <v>0</v>
      </c>
      <c r="AN224" s="36">
        <f t="shared" si="126"/>
        <v>0</v>
      </c>
      <c r="AO224" s="36">
        <f t="shared" si="116"/>
        <v>0</v>
      </c>
      <c r="AP224" s="37">
        <f t="shared" si="127"/>
        <v>0</v>
      </c>
      <c r="AQ224" s="36">
        <f t="shared" si="128"/>
        <v>0</v>
      </c>
      <c r="AR224" s="36">
        <f t="shared" si="129"/>
        <v>0</v>
      </c>
      <c r="AS224" s="39">
        <f t="shared" si="130"/>
        <v>0</v>
      </c>
      <c r="AU224" s="38">
        <f t="shared" si="142"/>
        <v>115</v>
      </c>
      <c r="AV224" s="35" t="str">
        <f t="shared" si="131"/>
        <v>0</v>
      </c>
      <c r="AW224" s="36">
        <f t="shared" si="132"/>
        <v>0</v>
      </c>
      <c r="AX224" s="36">
        <f t="shared" si="117"/>
        <v>0</v>
      </c>
      <c r="AY224" s="37">
        <f t="shared" si="133"/>
        <v>0</v>
      </c>
      <c r="AZ224" s="36">
        <f t="shared" si="134"/>
        <v>0</v>
      </c>
      <c r="BA224" s="36">
        <f t="shared" si="135"/>
        <v>0</v>
      </c>
      <c r="BB224" s="39">
        <f t="shared" si="136"/>
        <v>0</v>
      </c>
    </row>
    <row r="225" spans="1:54" x14ac:dyDescent="0.2">
      <c r="B225" s="65">
        <v>116</v>
      </c>
      <c r="C225" s="35" t="str">
        <f t="shared" si="148"/>
        <v>0</v>
      </c>
      <c r="D225" s="36">
        <f t="shared" si="149"/>
        <v>0</v>
      </c>
      <c r="E225" s="36">
        <f t="shared" si="143"/>
        <v>0</v>
      </c>
      <c r="F225" s="36">
        <f t="shared" si="104"/>
        <v>0</v>
      </c>
      <c r="G225" s="36">
        <f t="shared" si="137"/>
        <v>0</v>
      </c>
      <c r="H225" s="36">
        <f t="shared" si="144"/>
        <v>0</v>
      </c>
      <c r="I225" s="39">
        <f t="shared" si="145"/>
        <v>0</v>
      </c>
      <c r="K225" s="38">
        <f t="shared" si="138"/>
        <v>116</v>
      </c>
      <c r="L225" s="35" t="str">
        <f t="shared" si="150"/>
        <v>0</v>
      </c>
      <c r="M225" s="36">
        <f t="shared" si="151"/>
        <v>0</v>
      </c>
      <c r="N225" s="36">
        <f t="shared" si="146"/>
        <v>0</v>
      </c>
      <c r="O225" s="36">
        <f t="shared" si="107"/>
        <v>0</v>
      </c>
      <c r="P225" s="36">
        <f t="shared" si="118"/>
        <v>0</v>
      </c>
      <c r="Q225" s="36">
        <f t="shared" si="152"/>
        <v>0</v>
      </c>
      <c r="R225" s="39">
        <f t="shared" si="153"/>
        <v>0</v>
      </c>
      <c r="T225" s="38">
        <f t="shared" si="139"/>
        <v>116</v>
      </c>
      <c r="U225" s="35" t="str">
        <f t="shared" si="154"/>
        <v>0</v>
      </c>
      <c r="V225" s="36">
        <f t="shared" si="155"/>
        <v>0</v>
      </c>
      <c r="W225" s="36">
        <f t="shared" si="147"/>
        <v>0</v>
      </c>
      <c r="X225" s="37">
        <f t="shared" si="112"/>
        <v>0</v>
      </c>
      <c r="Y225" s="36">
        <f t="shared" si="119"/>
        <v>0</v>
      </c>
      <c r="Z225" s="36">
        <f t="shared" si="156"/>
        <v>0</v>
      </c>
      <c r="AA225" s="39">
        <f t="shared" si="157"/>
        <v>0</v>
      </c>
      <c r="AB225" s="41"/>
      <c r="AC225" s="38">
        <f t="shared" si="140"/>
        <v>116</v>
      </c>
      <c r="AD225" s="35" t="str">
        <f t="shared" si="120"/>
        <v>0</v>
      </c>
      <c r="AE225" s="36">
        <f t="shared" si="121"/>
        <v>0</v>
      </c>
      <c r="AF225" s="36">
        <f t="shared" si="115"/>
        <v>0</v>
      </c>
      <c r="AG225" s="37">
        <f t="shared" si="96"/>
        <v>0</v>
      </c>
      <c r="AH225" s="36">
        <f t="shared" si="122"/>
        <v>0</v>
      </c>
      <c r="AI225" s="36">
        <f t="shared" si="123"/>
        <v>0</v>
      </c>
      <c r="AJ225" s="39">
        <f t="shared" si="124"/>
        <v>0</v>
      </c>
      <c r="AL225" s="38">
        <f t="shared" si="141"/>
        <v>116</v>
      </c>
      <c r="AM225" s="35" t="str">
        <f t="shared" si="125"/>
        <v>0</v>
      </c>
      <c r="AN225" s="36">
        <f t="shared" si="126"/>
        <v>0</v>
      </c>
      <c r="AO225" s="36">
        <f t="shared" si="116"/>
        <v>0</v>
      </c>
      <c r="AP225" s="37">
        <f t="shared" si="127"/>
        <v>0</v>
      </c>
      <c r="AQ225" s="36">
        <f t="shared" si="128"/>
        <v>0</v>
      </c>
      <c r="AR225" s="36">
        <f t="shared" si="129"/>
        <v>0</v>
      </c>
      <c r="AS225" s="39">
        <f t="shared" si="130"/>
        <v>0</v>
      </c>
      <c r="AU225" s="38">
        <f t="shared" si="142"/>
        <v>116</v>
      </c>
      <c r="AV225" s="35" t="str">
        <f t="shared" si="131"/>
        <v>0</v>
      </c>
      <c r="AW225" s="36">
        <f t="shared" si="132"/>
        <v>0</v>
      </c>
      <c r="AX225" s="36">
        <f t="shared" si="117"/>
        <v>0</v>
      </c>
      <c r="AY225" s="37">
        <f t="shared" si="133"/>
        <v>0</v>
      </c>
      <c r="AZ225" s="36">
        <f t="shared" si="134"/>
        <v>0</v>
      </c>
      <c r="BA225" s="36">
        <f t="shared" si="135"/>
        <v>0</v>
      </c>
      <c r="BB225" s="39">
        <f t="shared" si="136"/>
        <v>0</v>
      </c>
    </row>
    <row r="226" spans="1:54" x14ac:dyDescent="0.2">
      <c r="B226" s="65">
        <v>117</v>
      </c>
      <c r="C226" s="35" t="str">
        <f t="shared" si="148"/>
        <v>0</v>
      </c>
      <c r="D226" s="36">
        <f t="shared" si="149"/>
        <v>0</v>
      </c>
      <c r="E226" s="36">
        <f t="shared" si="143"/>
        <v>0</v>
      </c>
      <c r="F226" s="36">
        <f t="shared" si="104"/>
        <v>0</v>
      </c>
      <c r="G226" s="36">
        <f t="shared" si="137"/>
        <v>0</v>
      </c>
      <c r="H226" s="36">
        <f t="shared" si="144"/>
        <v>0</v>
      </c>
      <c r="I226" s="39">
        <f t="shared" si="145"/>
        <v>0</v>
      </c>
      <c r="K226" s="38">
        <f t="shared" si="138"/>
        <v>117</v>
      </c>
      <c r="L226" s="35" t="str">
        <f t="shared" si="150"/>
        <v>0</v>
      </c>
      <c r="M226" s="36">
        <f t="shared" si="151"/>
        <v>0</v>
      </c>
      <c r="N226" s="36">
        <f t="shared" si="146"/>
        <v>0</v>
      </c>
      <c r="O226" s="36">
        <f t="shared" si="107"/>
        <v>0</v>
      </c>
      <c r="P226" s="36">
        <f t="shared" si="118"/>
        <v>0</v>
      </c>
      <c r="Q226" s="36">
        <f t="shared" si="152"/>
        <v>0</v>
      </c>
      <c r="R226" s="39">
        <f t="shared" si="153"/>
        <v>0</v>
      </c>
      <c r="T226" s="38">
        <f t="shared" si="139"/>
        <v>117</v>
      </c>
      <c r="U226" s="35" t="str">
        <f t="shared" si="154"/>
        <v>0</v>
      </c>
      <c r="V226" s="36">
        <f t="shared" si="155"/>
        <v>0</v>
      </c>
      <c r="W226" s="36">
        <f t="shared" si="147"/>
        <v>0</v>
      </c>
      <c r="X226" s="37">
        <f t="shared" si="112"/>
        <v>0</v>
      </c>
      <c r="Y226" s="36">
        <f t="shared" si="119"/>
        <v>0</v>
      </c>
      <c r="Z226" s="36">
        <f t="shared" si="156"/>
        <v>0</v>
      </c>
      <c r="AA226" s="39">
        <f t="shared" si="157"/>
        <v>0</v>
      </c>
      <c r="AB226" s="41"/>
      <c r="AC226" s="38">
        <f t="shared" si="140"/>
        <v>117</v>
      </c>
      <c r="AD226" s="35" t="str">
        <f t="shared" si="120"/>
        <v>0</v>
      </c>
      <c r="AE226" s="36">
        <f t="shared" si="121"/>
        <v>0</v>
      </c>
      <c r="AF226" s="36">
        <f t="shared" si="115"/>
        <v>0</v>
      </c>
      <c r="AG226" s="37">
        <f t="shared" si="96"/>
        <v>0</v>
      </c>
      <c r="AH226" s="36">
        <f t="shared" si="122"/>
        <v>0</v>
      </c>
      <c r="AI226" s="36">
        <f t="shared" si="123"/>
        <v>0</v>
      </c>
      <c r="AJ226" s="39">
        <f t="shared" si="124"/>
        <v>0</v>
      </c>
      <c r="AL226" s="38">
        <f t="shared" si="141"/>
        <v>117</v>
      </c>
      <c r="AM226" s="35" t="str">
        <f t="shared" si="125"/>
        <v>0</v>
      </c>
      <c r="AN226" s="36">
        <f t="shared" si="126"/>
        <v>0</v>
      </c>
      <c r="AO226" s="36">
        <f t="shared" si="116"/>
        <v>0</v>
      </c>
      <c r="AP226" s="37">
        <f t="shared" si="127"/>
        <v>0</v>
      </c>
      <c r="AQ226" s="36">
        <f t="shared" si="128"/>
        <v>0</v>
      </c>
      <c r="AR226" s="36">
        <f t="shared" si="129"/>
        <v>0</v>
      </c>
      <c r="AS226" s="39">
        <f t="shared" si="130"/>
        <v>0</v>
      </c>
      <c r="AU226" s="38">
        <f t="shared" si="142"/>
        <v>117</v>
      </c>
      <c r="AV226" s="35" t="str">
        <f t="shared" si="131"/>
        <v>0</v>
      </c>
      <c r="AW226" s="36">
        <f t="shared" si="132"/>
        <v>0</v>
      </c>
      <c r="AX226" s="36">
        <f t="shared" si="117"/>
        <v>0</v>
      </c>
      <c r="AY226" s="37">
        <f t="shared" si="133"/>
        <v>0</v>
      </c>
      <c r="AZ226" s="36">
        <f t="shared" si="134"/>
        <v>0</v>
      </c>
      <c r="BA226" s="36">
        <f t="shared" si="135"/>
        <v>0</v>
      </c>
      <c r="BB226" s="39">
        <f t="shared" si="136"/>
        <v>0</v>
      </c>
    </row>
    <row r="227" spans="1:54" x14ac:dyDescent="0.2">
      <c r="B227" s="65">
        <v>118</v>
      </c>
      <c r="C227" s="35" t="str">
        <f t="shared" si="148"/>
        <v>0</v>
      </c>
      <c r="D227" s="36">
        <f t="shared" si="149"/>
        <v>0</v>
      </c>
      <c r="E227" s="36">
        <f t="shared" si="143"/>
        <v>0</v>
      </c>
      <c r="F227" s="36">
        <f t="shared" si="104"/>
        <v>0</v>
      </c>
      <c r="G227" s="36">
        <f t="shared" si="137"/>
        <v>0</v>
      </c>
      <c r="H227" s="36">
        <f t="shared" si="144"/>
        <v>0</v>
      </c>
      <c r="I227" s="39">
        <f t="shared" si="145"/>
        <v>0</v>
      </c>
      <c r="K227" s="38">
        <f t="shared" si="138"/>
        <v>118</v>
      </c>
      <c r="L227" s="35" t="str">
        <f t="shared" si="150"/>
        <v>0</v>
      </c>
      <c r="M227" s="36">
        <f t="shared" si="151"/>
        <v>0</v>
      </c>
      <c r="N227" s="36">
        <f t="shared" si="146"/>
        <v>0</v>
      </c>
      <c r="O227" s="36">
        <f t="shared" si="107"/>
        <v>0</v>
      </c>
      <c r="P227" s="36">
        <f t="shared" si="118"/>
        <v>0</v>
      </c>
      <c r="Q227" s="36">
        <f t="shared" si="152"/>
        <v>0</v>
      </c>
      <c r="R227" s="39">
        <f t="shared" si="153"/>
        <v>0</v>
      </c>
      <c r="T227" s="38">
        <f t="shared" si="139"/>
        <v>118</v>
      </c>
      <c r="U227" s="35" t="str">
        <f t="shared" si="154"/>
        <v>0</v>
      </c>
      <c r="V227" s="36">
        <f t="shared" si="155"/>
        <v>0</v>
      </c>
      <c r="W227" s="36">
        <f t="shared" si="147"/>
        <v>0</v>
      </c>
      <c r="X227" s="37">
        <f t="shared" si="112"/>
        <v>0</v>
      </c>
      <c r="Y227" s="36">
        <f t="shared" si="119"/>
        <v>0</v>
      </c>
      <c r="Z227" s="36">
        <f t="shared" si="156"/>
        <v>0</v>
      </c>
      <c r="AA227" s="39">
        <f t="shared" si="157"/>
        <v>0</v>
      </c>
      <c r="AB227" s="41"/>
      <c r="AC227" s="38">
        <f t="shared" si="140"/>
        <v>118</v>
      </c>
      <c r="AD227" s="35" t="str">
        <f t="shared" si="120"/>
        <v>0</v>
      </c>
      <c r="AE227" s="36">
        <f t="shared" si="121"/>
        <v>0</v>
      </c>
      <c r="AF227" s="36">
        <f t="shared" si="115"/>
        <v>0</v>
      </c>
      <c r="AG227" s="37">
        <f t="shared" si="96"/>
        <v>0</v>
      </c>
      <c r="AH227" s="36">
        <f t="shared" si="122"/>
        <v>0</v>
      </c>
      <c r="AI227" s="36">
        <f t="shared" si="123"/>
        <v>0</v>
      </c>
      <c r="AJ227" s="39">
        <f t="shared" si="124"/>
        <v>0</v>
      </c>
      <c r="AL227" s="38">
        <f t="shared" si="141"/>
        <v>118</v>
      </c>
      <c r="AM227" s="35" t="str">
        <f t="shared" si="125"/>
        <v>0</v>
      </c>
      <c r="AN227" s="36">
        <f t="shared" si="126"/>
        <v>0</v>
      </c>
      <c r="AO227" s="36">
        <f t="shared" si="116"/>
        <v>0</v>
      </c>
      <c r="AP227" s="37">
        <f t="shared" si="127"/>
        <v>0</v>
      </c>
      <c r="AQ227" s="36">
        <f t="shared" si="128"/>
        <v>0</v>
      </c>
      <c r="AR227" s="36">
        <f t="shared" si="129"/>
        <v>0</v>
      </c>
      <c r="AS227" s="39">
        <f t="shared" si="130"/>
        <v>0</v>
      </c>
      <c r="AU227" s="38">
        <f t="shared" si="142"/>
        <v>118</v>
      </c>
      <c r="AV227" s="35" t="str">
        <f t="shared" si="131"/>
        <v>0</v>
      </c>
      <c r="AW227" s="36">
        <f t="shared" si="132"/>
        <v>0</v>
      </c>
      <c r="AX227" s="36">
        <f t="shared" si="117"/>
        <v>0</v>
      </c>
      <c r="AY227" s="37">
        <f t="shared" si="133"/>
        <v>0</v>
      </c>
      <c r="AZ227" s="36">
        <f t="shared" si="134"/>
        <v>0</v>
      </c>
      <c r="BA227" s="36">
        <f t="shared" si="135"/>
        <v>0</v>
      </c>
      <c r="BB227" s="39">
        <f t="shared" si="136"/>
        <v>0</v>
      </c>
    </row>
    <row r="228" spans="1:54" x14ac:dyDescent="0.2">
      <c r="B228" s="65">
        <v>119</v>
      </c>
      <c r="C228" s="35" t="str">
        <f t="shared" si="148"/>
        <v>0</v>
      </c>
      <c r="D228" s="36">
        <f t="shared" si="149"/>
        <v>0</v>
      </c>
      <c r="E228" s="36">
        <f t="shared" si="143"/>
        <v>0</v>
      </c>
      <c r="F228" s="36">
        <f t="shared" si="104"/>
        <v>0</v>
      </c>
      <c r="G228" s="36">
        <f t="shared" si="137"/>
        <v>0</v>
      </c>
      <c r="H228" s="36">
        <f t="shared" si="144"/>
        <v>0</v>
      </c>
      <c r="I228" s="39">
        <f t="shared" si="145"/>
        <v>0</v>
      </c>
      <c r="K228" s="38">
        <f t="shared" si="138"/>
        <v>119</v>
      </c>
      <c r="L228" s="35" t="str">
        <f t="shared" si="150"/>
        <v>0</v>
      </c>
      <c r="M228" s="36">
        <f t="shared" si="151"/>
        <v>0</v>
      </c>
      <c r="N228" s="36">
        <f t="shared" si="146"/>
        <v>0</v>
      </c>
      <c r="O228" s="36">
        <f t="shared" si="107"/>
        <v>0</v>
      </c>
      <c r="P228" s="36">
        <f t="shared" si="118"/>
        <v>0</v>
      </c>
      <c r="Q228" s="36">
        <f t="shared" si="152"/>
        <v>0</v>
      </c>
      <c r="R228" s="39">
        <f t="shared" si="153"/>
        <v>0</v>
      </c>
      <c r="T228" s="38">
        <f t="shared" si="139"/>
        <v>119</v>
      </c>
      <c r="U228" s="35" t="str">
        <f t="shared" si="154"/>
        <v>0</v>
      </c>
      <c r="V228" s="36">
        <f t="shared" si="155"/>
        <v>0</v>
      </c>
      <c r="W228" s="36">
        <f t="shared" si="147"/>
        <v>0</v>
      </c>
      <c r="X228" s="37">
        <f t="shared" si="112"/>
        <v>0</v>
      </c>
      <c r="Y228" s="36">
        <f t="shared" si="119"/>
        <v>0</v>
      </c>
      <c r="Z228" s="36">
        <f t="shared" si="156"/>
        <v>0</v>
      </c>
      <c r="AA228" s="39">
        <f t="shared" si="157"/>
        <v>0</v>
      </c>
      <c r="AB228" s="41"/>
      <c r="AC228" s="38">
        <f t="shared" si="140"/>
        <v>119</v>
      </c>
      <c r="AD228" s="35" t="str">
        <f t="shared" si="120"/>
        <v>0</v>
      </c>
      <c r="AE228" s="36">
        <f t="shared" si="121"/>
        <v>0</v>
      </c>
      <c r="AF228" s="36">
        <f t="shared" si="115"/>
        <v>0</v>
      </c>
      <c r="AG228" s="37">
        <f t="shared" si="96"/>
        <v>0</v>
      </c>
      <c r="AH228" s="36">
        <f t="shared" si="122"/>
        <v>0</v>
      </c>
      <c r="AI228" s="36">
        <f t="shared" si="123"/>
        <v>0</v>
      </c>
      <c r="AJ228" s="39">
        <f t="shared" si="124"/>
        <v>0</v>
      </c>
      <c r="AL228" s="38">
        <f t="shared" si="141"/>
        <v>119</v>
      </c>
      <c r="AM228" s="35" t="str">
        <f t="shared" si="125"/>
        <v>0</v>
      </c>
      <c r="AN228" s="36">
        <f t="shared" si="126"/>
        <v>0</v>
      </c>
      <c r="AO228" s="36">
        <f t="shared" si="116"/>
        <v>0</v>
      </c>
      <c r="AP228" s="37">
        <f t="shared" si="127"/>
        <v>0</v>
      </c>
      <c r="AQ228" s="36">
        <f t="shared" si="128"/>
        <v>0</v>
      </c>
      <c r="AR228" s="36">
        <f t="shared" si="129"/>
        <v>0</v>
      </c>
      <c r="AS228" s="39">
        <f t="shared" si="130"/>
        <v>0</v>
      </c>
      <c r="AU228" s="38">
        <f t="shared" si="142"/>
        <v>119</v>
      </c>
      <c r="AV228" s="35" t="str">
        <f t="shared" si="131"/>
        <v>0</v>
      </c>
      <c r="AW228" s="36">
        <f t="shared" si="132"/>
        <v>0</v>
      </c>
      <c r="AX228" s="36">
        <f t="shared" si="117"/>
        <v>0</v>
      </c>
      <c r="AY228" s="37">
        <f t="shared" si="133"/>
        <v>0</v>
      </c>
      <c r="AZ228" s="36">
        <f t="shared" si="134"/>
        <v>0</v>
      </c>
      <c r="BA228" s="36">
        <f t="shared" si="135"/>
        <v>0</v>
      </c>
      <c r="BB228" s="39">
        <f t="shared" si="136"/>
        <v>0</v>
      </c>
    </row>
    <row r="229" spans="1:54" ht="13.5" thickBot="1" x14ac:dyDescent="0.25">
      <c r="B229" s="66">
        <v>120</v>
      </c>
      <c r="C229" s="391" t="str">
        <f t="shared" si="148"/>
        <v>0</v>
      </c>
      <c r="D229" s="111">
        <f t="shared" si="149"/>
        <v>0</v>
      </c>
      <c r="E229" s="111">
        <f t="shared" si="143"/>
        <v>0</v>
      </c>
      <c r="F229" s="111">
        <f t="shared" si="104"/>
        <v>0</v>
      </c>
      <c r="G229" s="111">
        <f t="shared" si="137"/>
        <v>0</v>
      </c>
      <c r="H229" s="111">
        <f t="shared" si="144"/>
        <v>0</v>
      </c>
      <c r="I229" s="113">
        <f t="shared" si="145"/>
        <v>0</v>
      </c>
      <c r="K229" s="40">
        <f t="shared" si="138"/>
        <v>120</v>
      </c>
      <c r="L229" s="391" t="str">
        <f t="shared" si="150"/>
        <v>0</v>
      </c>
      <c r="M229" s="111">
        <f t="shared" si="151"/>
        <v>0</v>
      </c>
      <c r="N229" s="111">
        <f t="shared" si="146"/>
        <v>0</v>
      </c>
      <c r="O229" s="111">
        <f t="shared" si="107"/>
        <v>0</v>
      </c>
      <c r="P229" s="111">
        <f t="shared" si="118"/>
        <v>0</v>
      </c>
      <c r="Q229" s="111">
        <f t="shared" si="152"/>
        <v>0</v>
      </c>
      <c r="R229" s="113">
        <f t="shared" si="153"/>
        <v>0</v>
      </c>
      <c r="T229" s="40">
        <f t="shared" si="139"/>
        <v>120</v>
      </c>
      <c r="U229" s="391" t="str">
        <f t="shared" si="154"/>
        <v>0</v>
      </c>
      <c r="V229" s="111">
        <f t="shared" si="155"/>
        <v>0</v>
      </c>
      <c r="W229" s="111">
        <f t="shared" si="147"/>
        <v>0</v>
      </c>
      <c r="X229" s="111">
        <f t="shared" si="112"/>
        <v>0</v>
      </c>
      <c r="Y229" s="111">
        <f t="shared" si="119"/>
        <v>0</v>
      </c>
      <c r="Z229" s="111">
        <f t="shared" si="156"/>
        <v>0</v>
      </c>
      <c r="AA229" s="113">
        <f t="shared" si="157"/>
        <v>0</v>
      </c>
      <c r="AB229" s="41"/>
      <c r="AC229" s="40">
        <f t="shared" si="140"/>
        <v>120</v>
      </c>
      <c r="AD229" s="111" t="str">
        <f t="shared" si="120"/>
        <v>0</v>
      </c>
      <c r="AE229" s="111">
        <f t="shared" si="121"/>
        <v>0</v>
      </c>
      <c r="AF229" s="111">
        <f t="shared" si="115"/>
        <v>0</v>
      </c>
      <c r="AG229" s="111">
        <f t="shared" si="96"/>
        <v>0</v>
      </c>
      <c r="AH229" s="111">
        <f t="shared" si="122"/>
        <v>0</v>
      </c>
      <c r="AI229" s="111">
        <f t="shared" si="123"/>
        <v>0</v>
      </c>
      <c r="AJ229" s="113">
        <f t="shared" si="124"/>
        <v>0</v>
      </c>
      <c r="AL229" s="40">
        <f t="shared" si="141"/>
        <v>120</v>
      </c>
      <c r="AM229" s="111" t="str">
        <f t="shared" si="125"/>
        <v>0</v>
      </c>
      <c r="AN229" s="111">
        <f t="shared" si="126"/>
        <v>0</v>
      </c>
      <c r="AO229" s="111">
        <f t="shared" si="116"/>
        <v>0</v>
      </c>
      <c r="AP229" s="111">
        <f t="shared" si="127"/>
        <v>0</v>
      </c>
      <c r="AQ229" s="111">
        <f t="shared" si="128"/>
        <v>0</v>
      </c>
      <c r="AR229" s="111">
        <f t="shared" si="129"/>
        <v>0</v>
      </c>
      <c r="AS229" s="113">
        <f t="shared" si="130"/>
        <v>0</v>
      </c>
      <c r="AU229" s="40">
        <f t="shared" si="142"/>
        <v>120</v>
      </c>
      <c r="AV229" s="111" t="str">
        <f t="shared" si="131"/>
        <v>0</v>
      </c>
      <c r="AW229" s="111">
        <f t="shared" si="132"/>
        <v>0</v>
      </c>
      <c r="AX229" s="111">
        <f t="shared" si="117"/>
        <v>0</v>
      </c>
      <c r="AY229" s="111">
        <f t="shared" si="133"/>
        <v>0</v>
      </c>
      <c r="AZ229" s="111">
        <f t="shared" si="134"/>
        <v>0</v>
      </c>
      <c r="BA229" s="111">
        <f t="shared" si="135"/>
        <v>0</v>
      </c>
      <c r="BB229" s="113">
        <f t="shared" si="136"/>
        <v>0</v>
      </c>
    </row>
    <row r="230" spans="1:54" ht="13.5" thickTop="1" x14ac:dyDescent="0.2">
      <c r="B230" s="41"/>
      <c r="C230" s="41"/>
      <c r="D230" s="41"/>
      <c r="E230" s="42"/>
      <c r="F230" s="43"/>
      <c r="G230" s="41"/>
      <c r="H230" s="41"/>
      <c r="I230" s="41"/>
      <c r="K230" s="41"/>
      <c r="L230" s="41"/>
      <c r="M230" s="41"/>
      <c r="N230" s="42"/>
      <c r="O230" s="43"/>
      <c r="P230" s="41"/>
      <c r="Q230" s="41"/>
      <c r="R230" s="41"/>
      <c r="T230" s="41"/>
      <c r="U230" s="41"/>
      <c r="V230" s="41"/>
      <c r="X230" s="43"/>
      <c r="Y230" s="41"/>
      <c r="Z230" s="41"/>
      <c r="AA230" s="41"/>
      <c r="AB230" s="41"/>
      <c r="AC230" s="41"/>
      <c r="AD230" s="41"/>
      <c r="AE230" s="41"/>
      <c r="AF230" s="41"/>
      <c r="AG230" s="44"/>
      <c r="AH230" s="44"/>
      <c r="AI230" s="44"/>
    </row>
    <row r="231" spans="1:54" x14ac:dyDescent="0.2">
      <c r="AB231" s="41"/>
      <c r="AC231" s="41"/>
      <c r="AD231" s="41"/>
      <c r="AE231" s="41"/>
      <c r="AF231" s="41"/>
      <c r="AG231" s="44"/>
      <c r="AH231" s="44"/>
      <c r="AI231" s="44"/>
    </row>
    <row r="232" spans="1:54" x14ac:dyDescent="0.2">
      <c r="A232" s="41"/>
      <c r="B232" s="41"/>
      <c r="C232" s="41"/>
      <c r="D232" s="42"/>
      <c r="E232" s="41"/>
      <c r="F232" s="41"/>
      <c r="G232" s="41"/>
      <c r="H232" s="41"/>
      <c r="J232" s="41"/>
      <c r="K232" s="41"/>
      <c r="L232" s="41"/>
      <c r="M232" s="42"/>
      <c r="N232" s="41"/>
      <c r="O232" s="41"/>
      <c r="P232" s="41"/>
      <c r="Q232" s="41"/>
      <c r="S232" s="41"/>
      <c r="T232" s="41"/>
      <c r="U232" s="41"/>
      <c r="V232" s="42"/>
      <c r="X232" s="41"/>
      <c r="Y232" s="41"/>
      <c r="Z232" s="41"/>
      <c r="AB232" s="41"/>
      <c r="AC232" s="41"/>
      <c r="AD232" s="41"/>
      <c r="AE232" s="41"/>
      <c r="AF232" s="41"/>
      <c r="AG232" s="44"/>
      <c r="AH232" s="44"/>
      <c r="AI232" s="44"/>
    </row>
    <row r="233" spans="1:54" x14ac:dyDescent="0.2">
      <c r="H233" s="58"/>
      <c r="J233" s="41"/>
      <c r="K233" s="211"/>
      <c r="L233" s="41"/>
      <c r="M233" s="41"/>
      <c r="N233" s="41"/>
      <c r="O233" s="44"/>
      <c r="P233" s="44"/>
      <c r="Q233" s="44"/>
      <c r="S233" s="41"/>
      <c r="T233" s="41"/>
      <c r="U233" s="41"/>
      <c r="V233" s="41"/>
      <c r="X233" s="44"/>
      <c r="Y233" s="44"/>
      <c r="Z233" s="44"/>
      <c r="AB233" s="41"/>
      <c r="AC233" s="41"/>
      <c r="AD233" s="41"/>
      <c r="AE233" s="41"/>
      <c r="AF233" s="41"/>
      <c r="AG233" s="44"/>
      <c r="AH233" s="44"/>
      <c r="AI233" s="44"/>
    </row>
    <row r="234" spans="1:54" x14ac:dyDescent="0.2">
      <c r="H234" s="58"/>
      <c r="J234" s="41"/>
      <c r="K234" s="211"/>
      <c r="L234" s="41"/>
      <c r="M234" s="41"/>
      <c r="N234" s="41"/>
      <c r="O234" s="44"/>
      <c r="P234" s="44"/>
      <c r="Q234" s="44"/>
      <c r="S234" s="41"/>
      <c r="T234" s="41"/>
      <c r="U234" s="41"/>
      <c r="V234" s="41"/>
      <c r="X234" s="44"/>
      <c r="Y234" s="44"/>
      <c r="Z234" s="44"/>
      <c r="AB234" s="41"/>
      <c r="AC234" s="41"/>
      <c r="AD234" s="41"/>
      <c r="AE234" s="41"/>
      <c r="AF234" s="41"/>
      <c r="AG234" s="44"/>
      <c r="AH234" s="44"/>
      <c r="AI234" s="44"/>
    </row>
    <row r="235" spans="1:54" x14ac:dyDescent="0.2">
      <c r="Y235" s="44"/>
      <c r="Z235" s="44"/>
      <c r="AB235" s="41"/>
      <c r="AC235" s="41"/>
      <c r="AD235" s="41"/>
      <c r="AE235" s="41"/>
      <c r="AF235" s="41"/>
      <c r="AG235" s="44"/>
      <c r="AH235" s="44"/>
      <c r="AI235" s="44"/>
    </row>
    <row r="236" spans="1:54" x14ac:dyDescent="0.2">
      <c r="Y236" s="44"/>
      <c r="Z236" s="44"/>
      <c r="AB236" s="41"/>
      <c r="AC236" s="41"/>
      <c r="AD236" s="41"/>
      <c r="AE236" s="41"/>
      <c r="AF236" s="41"/>
      <c r="AG236" s="44"/>
      <c r="AH236" s="44"/>
      <c r="AI236" s="44"/>
    </row>
    <row r="237" spans="1:54" x14ac:dyDescent="0.2">
      <c r="Y237" s="44"/>
      <c r="Z237" s="44"/>
      <c r="AB237" s="41"/>
      <c r="AC237" s="41"/>
      <c r="AD237" s="41"/>
      <c r="AE237" s="41"/>
      <c r="AF237" s="41"/>
      <c r="AG237" s="44"/>
      <c r="AH237" s="44"/>
      <c r="AI237" s="44"/>
    </row>
    <row r="238" spans="1:54" ht="12.75" customHeight="1" x14ac:dyDescent="0.2">
      <c r="Y238" s="44"/>
      <c r="Z238" s="44"/>
      <c r="AB238" s="41"/>
      <c r="AC238" s="41"/>
      <c r="AD238" s="41"/>
      <c r="AE238" s="41"/>
      <c r="AF238" s="41"/>
      <c r="AG238" s="44"/>
      <c r="AH238" s="44"/>
      <c r="AI238" s="44"/>
    </row>
    <row r="239" spans="1:54" x14ac:dyDescent="0.2">
      <c r="Y239" s="44"/>
      <c r="Z239" s="44"/>
      <c r="AB239" s="41"/>
      <c r="AC239" s="41"/>
      <c r="AD239" s="41"/>
      <c r="AE239" s="41"/>
      <c r="AF239" s="41"/>
      <c r="AG239" s="44"/>
      <c r="AH239" s="44"/>
      <c r="AI239" s="44"/>
    </row>
    <row r="240" spans="1:54" x14ac:dyDescent="0.2">
      <c r="Y240" s="44"/>
      <c r="Z240" s="44"/>
      <c r="AB240" s="41"/>
      <c r="AC240" s="41"/>
      <c r="AD240" s="41"/>
      <c r="AE240" s="41"/>
      <c r="AF240" s="41"/>
      <c r="AG240" s="44"/>
      <c r="AH240" s="44"/>
      <c r="AI240" s="44"/>
    </row>
    <row r="241" spans="23:35" x14ac:dyDescent="0.2">
      <c r="Y241" s="44"/>
      <c r="Z241" s="44"/>
      <c r="AB241" s="41"/>
      <c r="AC241" s="41"/>
      <c r="AD241" s="41"/>
      <c r="AE241" s="41"/>
      <c r="AF241" s="41"/>
      <c r="AG241" s="44"/>
      <c r="AH241" s="44"/>
      <c r="AI241" s="44"/>
    </row>
    <row r="242" spans="23:35" x14ac:dyDescent="0.2">
      <c r="Y242" s="44"/>
      <c r="Z242" s="44"/>
      <c r="AB242" s="41"/>
      <c r="AC242" s="41"/>
      <c r="AD242" s="41"/>
      <c r="AE242" s="41"/>
      <c r="AF242" s="41"/>
      <c r="AG242" s="44"/>
      <c r="AH242" s="44"/>
      <c r="AI242" s="44"/>
    </row>
    <row r="243" spans="23:35" x14ac:dyDescent="0.2">
      <c r="Y243" s="44"/>
      <c r="Z243" s="44"/>
      <c r="AB243" s="41"/>
      <c r="AC243" s="41"/>
      <c r="AD243" s="41"/>
      <c r="AE243" s="41"/>
      <c r="AF243" s="41"/>
      <c r="AG243" s="44"/>
      <c r="AH243" s="44"/>
      <c r="AI243" s="44"/>
    </row>
    <row r="244" spans="23:35" x14ac:dyDescent="0.2">
      <c r="Y244" s="44"/>
      <c r="Z244" s="44"/>
      <c r="AB244" s="41"/>
      <c r="AC244" s="41"/>
      <c r="AD244" s="41"/>
      <c r="AE244" s="41"/>
      <c r="AF244" s="41"/>
      <c r="AG244" s="44"/>
      <c r="AH244" s="44"/>
      <c r="AI244" s="44"/>
    </row>
    <row r="245" spans="23:35" x14ac:dyDescent="0.2">
      <c r="Y245" s="44"/>
      <c r="Z245" s="44"/>
      <c r="AB245" s="41"/>
      <c r="AC245" s="41"/>
      <c r="AD245" s="41"/>
      <c r="AE245" s="41"/>
      <c r="AF245" s="41"/>
      <c r="AG245" s="44"/>
      <c r="AH245" s="44"/>
      <c r="AI245" s="44"/>
    </row>
    <row r="246" spans="23:35" x14ac:dyDescent="0.2">
      <c r="Y246" s="44"/>
      <c r="Z246" s="44"/>
      <c r="AB246" s="41"/>
      <c r="AC246" s="41"/>
      <c r="AD246" s="41"/>
      <c r="AE246" s="41"/>
      <c r="AF246" s="41"/>
      <c r="AG246" s="44"/>
      <c r="AH246" s="44"/>
      <c r="AI246" s="44"/>
    </row>
    <row r="247" spans="23:35" x14ac:dyDescent="0.2">
      <c r="Y247" s="44"/>
      <c r="Z247" s="44"/>
      <c r="AB247" s="41"/>
      <c r="AC247" s="41"/>
      <c r="AD247" s="41"/>
      <c r="AE247" s="41"/>
      <c r="AF247" s="41"/>
      <c r="AG247" s="44"/>
      <c r="AH247" s="44"/>
      <c r="AI247" s="44"/>
    </row>
    <row r="248" spans="23:35" x14ac:dyDescent="0.2">
      <c r="Y248" s="44"/>
      <c r="Z248" s="44"/>
      <c r="AB248" s="41"/>
      <c r="AC248" s="41"/>
      <c r="AD248" s="41"/>
      <c r="AE248" s="41"/>
      <c r="AF248" s="41"/>
      <c r="AG248" s="44"/>
      <c r="AH248" s="44"/>
      <c r="AI248" s="44"/>
    </row>
    <row r="249" spans="23:35" x14ac:dyDescent="0.2">
      <c r="Y249" s="44"/>
      <c r="Z249" s="44"/>
      <c r="AB249" s="41"/>
      <c r="AC249" s="41"/>
      <c r="AD249" s="41"/>
      <c r="AE249" s="41"/>
      <c r="AF249" s="41"/>
      <c r="AG249" s="44"/>
      <c r="AH249" s="44"/>
      <c r="AI249" s="44"/>
    </row>
    <row r="250" spans="23:35" s="1" customFormat="1" x14ac:dyDescent="0.2">
      <c r="W250" s="61"/>
      <c r="Y250" s="34"/>
      <c r="Z250" s="34"/>
      <c r="AG250" s="34"/>
      <c r="AH250" s="34"/>
      <c r="AI250" s="34"/>
    </row>
    <row r="251" spans="23:35" x14ac:dyDescent="0.2">
      <c r="Y251" s="44"/>
      <c r="Z251" s="44"/>
      <c r="AB251" s="41"/>
      <c r="AC251" s="41"/>
      <c r="AD251" s="41"/>
      <c r="AE251" s="41"/>
      <c r="AF251" s="41"/>
      <c r="AG251" s="44"/>
      <c r="AH251" s="44"/>
      <c r="AI251" s="44"/>
    </row>
    <row r="252" spans="23:35" x14ac:dyDescent="0.2">
      <c r="Y252" s="44"/>
      <c r="Z252" s="44"/>
      <c r="AB252" s="41"/>
      <c r="AC252" s="41"/>
      <c r="AD252" s="41"/>
      <c r="AE252" s="41"/>
      <c r="AF252" s="41"/>
      <c r="AG252" s="44"/>
      <c r="AH252" s="44"/>
      <c r="AI252" s="44"/>
    </row>
    <row r="253" spans="23:35" x14ac:dyDescent="0.2">
      <c r="Y253" s="44"/>
      <c r="Z253" s="44"/>
      <c r="AB253" s="41"/>
      <c r="AC253" s="41"/>
      <c r="AD253" s="41"/>
      <c r="AE253" s="41"/>
      <c r="AF253" s="41"/>
      <c r="AG253" s="44"/>
      <c r="AH253" s="44"/>
      <c r="AI253" s="44"/>
    </row>
    <row r="254" spans="23:35" x14ac:dyDescent="0.2">
      <c r="Y254" s="44"/>
      <c r="Z254" s="44"/>
      <c r="AB254" s="41"/>
      <c r="AC254" s="41"/>
      <c r="AD254" s="41"/>
      <c r="AE254" s="41"/>
      <c r="AF254" s="41"/>
      <c r="AG254" s="44"/>
      <c r="AH254" s="44"/>
      <c r="AI254" s="44"/>
    </row>
    <row r="255" spans="23:35" x14ac:dyDescent="0.2">
      <c r="Y255" s="44"/>
      <c r="Z255" s="44"/>
      <c r="AB255" s="41"/>
      <c r="AC255" s="41"/>
      <c r="AD255" s="41"/>
      <c r="AE255" s="41"/>
      <c r="AF255" s="41"/>
      <c r="AG255" s="44"/>
      <c r="AH255" s="44"/>
      <c r="AI255" s="44"/>
    </row>
    <row r="256" spans="23:35" x14ac:dyDescent="0.2">
      <c r="Y256" s="44"/>
      <c r="Z256" s="44"/>
      <c r="AB256" s="41"/>
      <c r="AC256" s="41"/>
      <c r="AD256" s="41"/>
      <c r="AE256" s="41"/>
      <c r="AF256" s="41"/>
      <c r="AG256" s="44"/>
      <c r="AH256" s="44"/>
      <c r="AI256" s="44"/>
    </row>
    <row r="257" spans="23:35" x14ac:dyDescent="0.2">
      <c r="Y257" s="44"/>
      <c r="Z257" s="44"/>
      <c r="AB257" s="41"/>
      <c r="AC257" s="41"/>
      <c r="AD257" s="41"/>
      <c r="AE257" s="41"/>
      <c r="AF257" s="41"/>
      <c r="AG257" s="44"/>
      <c r="AH257" s="44"/>
      <c r="AI257" s="44"/>
    </row>
    <row r="258" spans="23:35" x14ac:dyDescent="0.2">
      <c r="Y258" s="44"/>
      <c r="Z258" s="44"/>
      <c r="AB258" s="41"/>
      <c r="AC258" s="41"/>
      <c r="AD258" s="41"/>
      <c r="AE258" s="41"/>
      <c r="AF258" s="41"/>
      <c r="AG258" s="44"/>
      <c r="AH258" s="44"/>
      <c r="AI258" s="44"/>
    </row>
    <row r="259" spans="23:35" x14ac:dyDescent="0.2">
      <c r="Y259" s="44"/>
      <c r="Z259" s="44"/>
      <c r="AB259" s="41"/>
      <c r="AC259" s="41"/>
      <c r="AD259" s="41"/>
      <c r="AE259" s="41"/>
      <c r="AF259" s="41"/>
      <c r="AG259" s="44"/>
      <c r="AH259" s="44"/>
      <c r="AI259" s="44"/>
    </row>
    <row r="260" spans="23:35" x14ac:dyDescent="0.2">
      <c r="Y260" s="44"/>
      <c r="Z260" s="44"/>
      <c r="AB260" s="41"/>
      <c r="AC260" s="41"/>
      <c r="AD260" s="41"/>
      <c r="AE260" s="41"/>
      <c r="AF260" s="41"/>
      <c r="AG260" s="44"/>
      <c r="AH260" s="44"/>
      <c r="AI260" s="44"/>
    </row>
    <row r="261" spans="23:35" x14ac:dyDescent="0.2">
      <c r="Y261" s="44"/>
      <c r="Z261" s="44"/>
      <c r="AB261" s="41"/>
      <c r="AC261" s="41"/>
      <c r="AD261" s="41"/>
      <c r="AE261" s="41"/>
      <c r="AF261" s="41"/>
      <c r="AG261" s="44"/>
      <c r="AH261" s="44"/>
      <c r="AI261" s="44"/>
    </row>
    <row r="262" spans="23:35" s="1" customFormat="1" x14ac:dyDescent="0.2">
      <c r="W262" s="61"/>
      <c r="Y262" s="34"/>
      <c r="Z262" s="34"/>
      <c r="AG262" s="34"/>
      <c r="AH262" s="34"/>
      <c r="AI262" s="34"/>
    </row>
    <row r="263" spans="23:35" x14ac:dyDescent="0.2">
      <c r="Y263" s="44"/>
      <c r="Z263" s="44"/>
      <c r="AB263" s="41"/>
      <c r="AC263" s="41"/>
      <c r="AD263" s="41"/>
      <c r="AE263" s="41"/>
      <c r="AF263" s="41"/>
      <c r="AG263" s="44"/>
      <c r="AH263" s="44"/>
      <c r="AI263" s="44"/>
    </row>
    <row r="264" spans="23:35" x14ac:dyDescent="0.2">
      <c r="Y264" s="44"/>
      <c r="Z264" s="44"/>
      <c r="AB264" s="41"/>
      <c r="AC264" s="41"/>
      <c r="AD264" s="41"/>
      <c r="AE264" s="41"/>
      <c r="AF264" s="41"/>
      <c r="AG264" s="44"/>
      <c r="AH264" s="44"/>
      <c r="AI264" s="44"/>
    </row>
    <row r="265" spans="23:35" x14ac:dyDescent="0.2">
      <c r="Y265" s="44"/>
      <c r="Z265" s="44"/>
      <c r="AB265" s="41"/>
      <c r="AC265" s="41"/>
      <c r="AD265" s="41"/>
      <c r="AE265" s="41"/>
      <c r="AF265" s="41"/>
      <c r="AG265" s="44"/>
      <c r="AH265" s="44"/>
      <c r="AI265" s="44"/>
    </row>
    <row r="266" spans="23:35" x14ac:dyDescent="0.2">
      <c r="Y266" s="44"/>
      <c r="Z266" s="44"/>
      <c r="AB266" s="41"/>
      <c r="AC266" s="41"/>
      <c r="AD266" s="41"/>
      <c r="AE266" s="41"/>
      <c r="AF266" s="41"/>
      <c r="AG266" s="44"/>
      <c r="AH266" s="44"/>
      <c r="AI266" s="44"/>
    </row>
    <row r="267" spans="23:35" x14ac:dyDescent="0.2">
      <c r="Y267" s="44"/>
      <c r="Z267" s="44"/>
      <c r="AB267" s="41"/>
      <c r="AC267" s="41"/>
      <c r="AD267" s="41"/>
      <c r="AE267" s="41"/>
      <c r="AF267" s="41"/>
      <c r="AG267" s="44"/>
      <c r="AH267" s="44"/>
      <c r="AI267" s="44"/>
    </row>
    <row r="268" spans="23:35" x14ac:dyDescent="0.2">
      <c r="Y268" s="44"/>
      <c r="Z268" s="44"/>
      <c r="AB268" s="41"/>
      <c r="AC268" s="41"/>
      <c r="AD268" s="41"/>
      <c r="AE268" s="41"/>
      <c r="AF268" s="41"/>
      <c r="AG268" s="44"/>
      <c r="AH268" s="44"/>
      <c r="AI268" s="44"/>
    </row>
    <row r="269" spans="23:35" x14ac:dyDescent="0.2">
      <c r="Y269" s="44"/>
      <c r="Z269" s="44"/>
      <c r="AB269" s="41"/>
      <c r="AC269" s="41"/>
      <c r="AD269" s="41"/>
      <c r="AE269" s="41"/>
      <c r="AF269" s="41"/>
      <c r="AG269" s="44"/>
      <c r="AH269" s="44"/>
      <c r="AI269" s="44"/>
    </row>
    <row r="270" spans="23:35" x14ac:dyDescent="0.2">
      <c r="Y270" s="44"/>
      <c r="Z270" s="44"/>
      <c r="AB270" s="41"/>
      <c r="AC270" s="41"/>
      <c r="AD270" s="41"/>
      <c r="AE270" s="41"/>
      <c r="AF270" s="41"/>
      <c r="AG270" s="44"/>
      <c r="AH270" s="44"/>
      <c r="AI270" s="44"/>
    </row>
    <row r="271" spans="23:35" x14ac:dyDescent="0.2">
      <c r="Y271" s="44"/>
      <c r="Z271" s="44"/>
      <c r="AB271" s="41"/>
      <c r="AC271" s="41"/>
      <c r="AD271" s="41"/>
      <c r="AE271" s="41"/>
      <c r="AF271" s="41"/>
      <c r="AG271" s="44"/>
      <c r="AH271" s="44"/>
      <c r="AI271" s="44"/>
    </row>
    <row r="272" spans="23:35" x14ac:dyDescent="0.2">
      <c r="Y272" s="44"/>
      <c r="Z272" s="44"/>
      <c r="AB272" s="41"/>
      <c r="AC272" s="41"/>
      <c r="AD272" s="41"/>
      <c r="AE272" s="41"/>
      <c r="AF272" s="41"/>
      <c r="AG272" s="44"/>
      <c r="AH272" s="44"/>
      <c r="AI272" s="44"/>
    </row>
    <row r="273" spans="10:35" x14ac:dyDescent="0.2">
      <c r="Y273" s="44"/>
      <c r="Z273" s="44"/>
      <c r="AB273" s="41"/>
      <c r="AC273" s="41"/>
      <c r="AD273" s="41"/>
      <c r="AE273" s="41"/>
      <c r="AF273" s="41"/>
      <c r="AG273" s="44"/>
      <c r="AH273" s="44"/>
      <c r="AI273" s="44"/>
    </row>
    <row r="274" spans="10:35" s="1" customFormat="1" x14ac:dyDescent="0.2">
      <c r="W274" s="61"/>
      <c r="Y274" s="34"/>
      <c r="Z274" s="34"/>
      <c r="AG274" s="34"/>
      <c r="AH274" s="34"/>
      <c r="AI274" s="34"/>
    </row>
    <row r="275" spans="10:35" x14ac:dyDescent="0.2">
      <c r="S275" s="41"/>
      <c r="T275" s="41"/>
      <c r="U275" s="41"/>
      <c r="V275" s="41"/>
      <c r="X275" s="44"/>
      <c r="Y275" s="44"/>
      <c r="Z275" s="44"/>
      <c r="AB275" s="41"/>
      <c r="AC275" s="41"/>
      <c r="AD275" s="41"/>
      <c r="AE275" s="41"/>
      <c r="AF275" s="41"/>
      <c r="AG275" s="44"/>
      <c r="AH275" s="44"/>
      <c r="AI275" s="44"/>
    </row>
    <row r="276" spans="10:35" x14ac:dyDescent="0.2">
      <c r="J276" s="41"/>
      <c r="K276" s="41"/>
      <c r="L276" s="41"/>
      <c r="M276" s="41"/>
      <c r="N276" s="41"/>
      <c r="O276" s="44"/>
      <c r="P276" s="44"/>
      <c r="Q276" s="44"/>
      <c r="S276" s="41"/>
      <c r="T276" s="41"/>
      <c r="U276" s="41"/>
      <c r="V276" s="41"/>
      <c r="X276" s="44"/>
      <c r="Y276" s="44"/>
      <c r="Z276" s="44"/>
      <c r="AB276" s="41"/>
      <c r="AC276" s="41"/>
      <c r="AD276" s="41"/>
      <c r="AE276" s="41"/>
      <c r="AF276" s="41"/>
      <c r="AG276" s="44"/>
      <c r="AH276" s="44"/>
      <c r="AI276" s="44"/>
    </row>
    <row r="277" spans="10:35" x14ac:dyDescent="0.2">
      <c r="J277" s="41"/>
      <c r="K277" s="41"/>
      <c r="L277" s="41"/>
      <c r="M277" s="41"/>
      <c r="N277" s="41"/>
      <c r="O277" s="44"/>
      <c r="P277" s="44"/>
      <c r="Q277" s="44"/>
      <c r="S277" s="41"/>
      <c r="T277" s="41"/>
      <c r="U277" s="41"/>
      <c r="V277" s="41"/>
      <c r="X277" s="44"/>
      <c r="Y277" s="44"/>
      <c r="Z277" s="44"/>
      <c r="AB277" s="41"/>
      <c r="AC277" s="41"/>
      <c r="AD277" s="41"/>
      <c r="AE277" s="41"/>
      <c r="AF277" s="41"/>
      <c r="AG277" s="44"/>
      <c r="AH277" s="44"/>
      <c r="AI277" s="44"/>
    </row>
    <row r="278" spans="10:35" x14ac:dyDescent="0.2">
      <c r="J278" s="41"/>
      <c r="K278" s="41"/>
      <c r="L278" s="41"/>
      <c r="M278" s="41"/>
      <c r="N278" s="41"/>
      <c r="O278" s="44"/>
      <c r="P278" s="44"/>
      <c r="Q278" s="44"/>
      <c r="S278" s="41"/>
      <c r="T278" s="41"/>
      <c r="U278" s="41"/>
      <c r="V278" s="41"/>
      <c r="X278" s="44"/>
      <c r="Y278" s="44"/>
      <c r="Z278" s="44"/>
      <c r="AB278" s="41"/>
      <c r="AC278" s="41"/>
      <c r="AD278" s="41"/>
      <c r="AE278" s="41"/>
      <c r="AF278" s="41"/>
      <c r="AG278" s="44"/>
      <c r="AH278" s="44"/>
      <c r="AI278" s="44"/>
    </row>
    <row r="279" spans="10:35" x14ac:dyDescent="0.2">
      <c r="J279" s="41"/>
      <c r="K279" s="41"/>
      <c r="L279" s="41"/>
      <c r="M279" s="41"/>
      <c r="N279" s="41"/>
      <c r="O279" s="44"/>
      <c r="P279" s="44"/>
      <c r="Q279" s="44"/>
      <c r="S279" s="41"/>
      <c r="T279" s="41"/>
      <c r="U279" s="41"/>
      <c r="V279" s="41"/>
      <c r="X279" s="44"/>
      <c r="Y279" s="44"/>
      <c r="Z279" s="44"/>
      <c r="AB279" s="41"/>
      <c r="AC279" s="41"/>
      <c r="AD279" s="41"/>
      <c r="AE279" s="41"/>
      <c r="AF279" s="41"/>
      <c r="AG279" s="44"/>
      <c r="AH279" s="44"/>
      <c r="AI279" s="44"/>
    </row>
    <row r="280" spans="10:35" x14ac:dyDescent="0.2">
      <c r="J280" s="41"/>
      <c r="K280" s="41"/>
      <c r="L280" s="41"/>
      <c r="M280" s="41"/>
      <c r="N280" s="41"/>
      <c r="O280" s="44"/>
      <c r="P280" s="44"/>
      <c r="Q280" s="44"/>
      <c r="S280" s="41"/>
      <c r="T280" s="41"/>
      <c r="U280" s="41"/>
      <c r="V280" s="41"/>
      <c r="X280" s="44"/>
      <c r="Y280" s="44"/>
      <c r="Z280" s="44"/>
      <c r="AB280" s="41"/>
      <c r="AC280" s="41"/>
      <c r="AD280" s="41"/>
      <c r="AE280" s="41"/>
      <c r="AF280" s="41"/>
      <c r="AG280" s="44"/>
      <c r="AH280" s="44"/>
      <c r="AI280" s="44"/>
    </row>
    <row r="281" spans="10:35" x14ac:dyDescent="0.2">
      <c r="J281" s="41"/>
      <c r="K281" s="41"/>
      <c r="L281" s="41"/>
      <c r="M281" s="41"/>
      <c r="N281" s="41"/>
      <c r="O281" s="44"/>
      <c r="P281" s="44"/>
      <c r="Q281" s="44"/>
      <c r="S281" s="41"/>
      <c r="T281" s="41"/>
      <c r="U281" s="41"/>
      <c r="V281" s="41"/>
      <c r="X281" s="44"/>
      <c r="Y281" s="44"/>
      <c r="Z281" s="44"/>
      <c r="AB281" s="41"/>
      <c r="AC281" s="41"/>
      <c r="AD281" s="41"/>
      <c r="AE281" s="41"/>
      <c r="AF281" s="41"/>
      <c r="AG281" s="44"/>
      <c r="AH281" s="44"/>
      <c r="AI281" s="44"/>
    </row>
    <row r="282" spans="10:35" x14ac:dyDescent="0.2">
      <c r="J282" s="41"/>
      <c r="K282" s="41"/>
      <c r="L282" s="41"/>
      <c r="M282" s="41"/>
      <c r="N282" s="41"/>
      <c r="O282" s="44"/>
      <c r="P282" s="44"/>
      <c r="Q282" s="44"/>
      <c r="S282" s="41"/>
      <c r="T282" s="41"/>
      <c r="U282" s="41"/>
      <c r="V282" s="41"/>
      <c r="X282" s="44"/>
      <c r="Y282" s="44"/>
      <c r="Z282" s="44"/>
      <c r="AB282" s="41"/>
      <c r="AC282" s="41"/>
      <c r="AD282" s="41"/>
      <c r="AE282" s="41"/>
      <c r="AF282" s="41"/>
      <c r="AG282" s="44"/>
      <c r="AH282" s="44"/>
      <c r="AI282" s="44"/>
    </row>
    <row r="283" spans="10:35" x14ac:dyDescent="0.2">
      <c r="J283" s="41"/>
      <c r="K283" s="41"/>
      <c r="L283" s="41"/>
      <c r="M283" s="41"/>
      <c r="N283" s="41"/>
      <c r="O283" s="44"/>
      <c r="P283" s="44"/>
      <c r="Q283" s="44"/>
      <c r="S283" s="41"/>
      <c r="T283" s="41"/>
      <c r="U283" s="41"/>
      <c r="V283" s="41"/>
      <c r="X283" s="44"/>
      <c r="Y283" s="44"/>
      <c r="Z283" s="44"/>
      <c r="AB283" s="41"/>
      <c r="AC283" s="41"/>
      <c r="AD283" s="41"/>
      <c r="AE283" s="41"/>
      <c r="AF283" s="41"/>
      <c r="AG283" s="44"/>
      <c r="AH283" s="44"/>
      <c r="AI283" s="44"/>
    </row>
    <row r="284" spans="10:35" x14ac:dyDescent="0.2">
      <c r="J284" s="41"/>
      <c r="K284" s="41"/>
      <c r="L284" s="41"/>
      <c r="M284" s="41"/>
      <c r="N284" s="41"/>
      <c r="O284" s="44"/>
      <c r="P284" s="44"/>
      <c r="Q284" s="44"/>
      <c r="S284" s="41"/>
      <c r="T284" s="41"/>
      <c r="U284" s="41"/>
      <c r="V284" s="41"/>
      <c r="X284" s="44"/>
      <c r="Y284" s="44"/>
      <c r="Z284" s="44"/>
      <c r="AB284" s="41"/>
      <c r="AC284" s="41"/>
      <c r="AD284" s="41"/>
      <c r="AE284" s="41"/>
      <c r="AF284" s="41"/>
      <c r="AG284" s="44"/>
      <c r="AH284" s="44"/>
      <c r="AI284" s="44"/>
    </row>
    <row r="285" spans="10:35" x14ac:dyDescent="0.2">
      <c r="J285" s="41"/>
      <c r="K285" s="41"/>
      <c r="L285" s="41"/>
      <c r="M285" s="41"/>
      <c r="N285" s="41"/>
      <c r="O285" s="44"/>
      <c r="P285" s="44"/>
      <c r="Q285" s="44"/>
      <c r="S285" s="41"/>
      <c r="T285" s="41"/>
      <c r="U285" s="41"/>
      <c r="V285" s="41"/>
      <c r="X285" s="44"/>
      <c r="Y285" s="44"/>
      <c r="Z285" s="44"/>
      <c r="AB285" s="41"/>
      <c r="AC285" s="41"/>
      <c r="AD285" s="41"/>
      <c r="AE285" s="41"/>
      <c r="AF285" s="41"/>
      <c r="AG285" s="44"/>
      <c r="AH285" s="44"/>
      <c r="AI285" s="44"/>
    </row>
    <row r="286" spans="10:35" x14ac:dyDescent="0.2">
      <c r="J286" s="41"/>
      <c r="K286" s="41"/>
      <c r="L286" s="41"/>
      <c r="M286" s="41"/>
      <c r="N286" s="41"/>
      <c r="O286" s="44"/>
      <c r="P286" s="44"/>
      <c r="Q286" s="44"/>
      <c r="S286" s="41"/>
      <c r="T286" s="41"/>
      <c r="U286" s="41"/>
      <c r="V286" s="41"/>
      <c r="X286" s="44"/>
      <c r="Y286" s="44"/>
      <c r="Z286" s="44"/>
      <c r="AB286" s="41"/>
      <c r="AC286" s="41"/>
      <c r="AD286" s="41"/>
      <c r="AE286" s="41"/>
      <c r="AF286" s="41"/>
      <c r="AG286" s="44"/>
      <c r="AH286" s="44"/>
      <c r="AI286" s="44"/>
    </row>
    <row r="287" spans="10:35" x14ac:dyDescent="0.2">
      <c r="J287" s="41"/>
      <c r="K287" s="41"/>
      <c r="L287" s="41"/>
      <c r="M287" s="41"/>
      <c r="N287" s="41"/>
      <c r="O287" s="44"/>
      <c r="P287" s="44"/>
      <c r="Q287" s="44"/>
      <c r="S287" s="41"/>
      <c r="T287" s="41"/>
      <c r="U287" s="41"/>
      <c r="V287" s="41"/>
      <c r="X287" s="44"/>
      <c r="Y287" s="44"/>
      <c r="Z287" s="44"/>
      <c r="AB287" s="41"/>
      <c r="AC287" s="41"/>
      <c r="AD287" s="41"/>
      <c r="AE287" s="41"/>
      <c r="AF287" s="41"/>
      <c r="AG287" s="44"/>
      <c r="AH287" s="44"/>
      <c r="AI287" s="44"/>
    </row>
    <row r="288" spans="10:35" x14ac:dyDescent="0.2">
      <c r="J288" s="41"/>
      <c r="K288" s="41"/>
      <c r="L288" s="41"/>
      <c r="M288" s="41"/>
      <c r="N288" s="41"/>
      <c r="O288" s="44"/>
      <c r="P288" s="44"/>
      <c r="Q288" s="44"/>
      <c r="S288" s="41"/>
      <c r="T288" s="41"/>
      <c r="U288" s="41"/>
      <c r="V288" s="41"/>
      <c r="X288" s="44"/>
      <c r="Y288" s="44"/>
      <c r="Z288" s="44"/>
      <c r="AB288" s="41"/>
      <c r="AC288" s="41"/>
      <c r="AD288" s="41"/>
      <c r="AE288" s="41"/>
      <c r="AF288" s="41"/>
      <c r="AG288" s="44"/>
      <c r="AH288" s="44"/>
      <c r="AI288" s="44"/>
    </row>
    <row r="289" spans="10:35" x14ac:dyDescent="0.2">
      <c r="J289" s="41"/>
      <c r="K289" s="41"/>
      <c r="L289" s="41"/>
      <c r="M289" s="41"/>
      <c r="N289" s="41"/>
      <c r="O289" s="44"/>
      <c r="P289" s="44"/>
      <c r="Q289" s="44"/>
      <c r="S289" s="41"/>
      <c r="T289" s="41"/>
      <c r="U289" s="41"/>
      <c r="V289" s="41"/>
      <c r="X289" s="44"/>
      <c r="Y289" s="44"/>
      <c r="Z289" s="44"/>
      <c r="AB289" s="41"/>
      <c r="AC289" s="41"/>
      <c r="AD289" s="41"/>
      <c r="AE289" s="41"/>
      <c r="AF289" s="41"/>
      <c r="AG289" s="44"/>
      <c r="AH289" s="44"/>
      <c r="AI289" s="44"/>
    </row>
    <row r="290" spans="10:35" x14ac:dyDescent="0.2">
      <c r="J290" s="41"/>
      <c r="K290" s="41"/>
      <c r="L290" s="41"/>
      <c r="M290" s="41"/>
      <c r="N290" s="41"/>
      <c r="O290" s="44"/>
      <c r="P290" s="44"/>
      <c r="Q290" s="44"/>
      <c r="S290" s="41"/>
      <c r="T290" s="41"/>
      <c r="U290" s="41"/>
      <c r="V290" s="41"/>
      <c r="X290" s="44"/>
      <c r="Y290" s="44"/>
      <c r="Z290" s="44"/>
      <c r="AB290" s="41"/>
      <c r="AC290" s="41"/>
      <c r="AD290" s="41"/>
      <c r="AE290" s="41"/>
      <c r="AF290" s="41"/>
      <c r="AG290" s="44"/>
      <c r="AH290" s="44"/>
      <c r="AI290" s="44"/>
    </row>
    <row r="291" spans="10:35" x14ac:dyDescent="0.2">
      <c r="J291" s="41"/>
      <c r="K291" s="41"/>
      <c r="L291" s="41"/>
      <c r="M291" s="41"/>
      <c r="N291" s="41"/>
      <c r="O291" s="44"/>
      <c r="P291" s="44"/>
      <c r="Q291" s="44"/>
      <c r="S291" s="41"/>
      <c r="T291" s="41"/>
      <c r="U291" s="41"/>
      <c r="V291" s="41"/>
      <c r="X291" s="44"/>
      <c r="Y291" s="44"/>
      <c r="Z291" s="44"/>
      <c r="AB291" s="41"/>
      <c r="AC291" s="41"/>
      <c r="AD291" s="41"/>
      <c r="AE291" s="41"/>
      <c r="AF291" s="41"/>
      <c r="AG291" s="44"/>
      <c r="AH291" s="44"/>
      <c r="AI291" s="44"/>
    </row>
    <row r="292" spans="10:35" x14ac:dyDescent="0.2">
      <c r="J292" s="41"/>
      <c r="K292" s="41"/>
      <c r="L292" s="41"/>
      <c r="M292" s="41"/>
      <c r="N292" s="41"/>
      <c r="O292" s="44"/>
      <c r="P292" s="44"/>
      <c r="Q292" s="44"/>
      <c r="S292" s="41"/>
      <c r="T292" s="41"/>
      <c r="U292" s="41"/>
      <c r="V292" s="41"/>
      <c r="X292" s="44"/>
      <c r="Y292" s="44"/>
      <c r="Z292" s="44"/>
      <c r="AB292" s="41"/>
      <c r="AC292" s="41"/>
      <c r="AD292" s="41"/>
      <c r="AE292" s="41"/>
      <c r="AF292" s="41"/>
      <c r="AG292" s="44"/>
      <c r="AH292" s="44"/>
      <c r="AI292" s="44"/>
    </row>
    <row r="293" spans="10:35" x14ac:dyDescent="0.2">
      <c r="J293" s="41"/>
      <c r="K293" s="41"/>
      <c r="L293" s="41"/>
      <c r="M293" s="41"/>
      <c r="N293" s="41"/>
      <c r="O293" s="44"/>
      <c r="P293" s="44"/>
      <c r="Q293" s="44"/>
      <c r="S293" s="41"/>
      <c r="T293" s="41"/>
      <c r="U293" s="41"/>
      <c r="V293" s="41"/>
      <c r="X293" s="44"/>
      <c r="Y293" s="44"/>
      <c r="Z293" s="44"/>
      <c r="AB293" s="41"/>
      <c r="AC293" s="41"/>
      <c r="AD293" s="41"/>
      <c r="AE293" s="41"/>
      <c r="AF293" s="41"/>
      <c r="AG293" s="44"/>
      <c r="AH293" s="44"/>
      <c r="AI293" s="44"/>
    </row>
    <row r="294" spans="10:35" x14ac:dyDescent="0.2">
      <c r="J294" s="41"/>
      <c r="K294" s="41"/>
      <c r="L294" s="41"/>
      <c r="M294" s="41"/>
      <c r="N294" s="41"/>
      <c r="O294" s="44"/>
      <c r="P294" s="44"/>
      <c r="Q294" s="44"/>
      <c r="S294" s="41"/>
      <c r="T294" s="41"/>
      <c r="U294" s="41"/>
      <c r="V294" s="41"/>
      <c r="X294" s="44"/>
      <c r="Y294" s="44"/>
      <c r="Z294" s="44"/>
      <c r="AB294" s="41"/>
      <c r="AC294" s="41"/>
      <c r="AD294" s="41"/>
      <c r="AE294" s="41"/>
      <c r="AF294" s="41"/>
      <c r="AG294" s="44"/>
      <c r="AH294" s="44"/>
      <c r="AI294" s="44"/>
    </row>
    <row r="295" spans="10:35" x14ac:dyDescent="0.2">
      <c r="J295" s="41"/>
      <c r="K295" s="41"/>
      <c r="L295" s="41"/>
      <c r="M295" s="41"/>
      <c r="N295" s="41"/>
      <c r="O295" s="44"/>
      <c r="P295" s="44"/>
      <c r="Q295" s="44"/>
      <c r="S295" s="41"/>
      <c r="T295" s="41"/>
      <c r="U295" s="41"/>
      <c r="V295" s="41"/>
      <c r="X295" s="44"/>
      <c r="Y295" s="44"/>
      <c r="Z295" s="44"/>
      <c r="AB295" s="41"/>
      <c r="AC295" s="41"/>
      <c r="AD295" s="41"/>
      <c r="AE295" s="41"/>
      <c r="AF295" s="41"/>
      <c r="AG295" s="44"/>
      <c r="AH295" s="44"/>
      <c r="AI295" s="44"/>
    </row>
    <row r="296" spans="10:35" x14ac:dyDescent="0.2">
      <c r="J296" s="41"/>
      <c r="K296" s="41"/>
      <c r="L296" s="41"/>
      <c r="M296" s="41"/>
      <c r="N296" s="41"/>
      <c r="O296" s="44"/>
      <c r="P296" s="44"/>
      <c r="Q296" s="44"/>
      <c r="S296" s="41"/>
      <c r="T296" s="41"/>
      <c r="U296" s="41"/>
      <c r="V296" s="41"/>
      <c r="X296" s="44"/>
      <c r="Y296" s="44"/>
      <c r="Z296" s="44"/>
      <c r="AB296" s="41"/>
      <c r="AC296" s="41"/>
      <c r="AD296" s="41"/>
      <c r="AE296" s="41"/>
      <c r="AF296" s="41"/>
      <c r="AG296" s="44"/>
      <c r="AH296" s="44"/>
      <c r="AI296" s="44"/>
    </row>
    <row r="297" spans="10:35" x14ac:dyDescent="0.2">
      <c r="J297" s="41"/>
      <c r="K297" s="41"/>
      <c r="L297" s="41"/>
      <c r="M297" s="41"/>
      <c r="N297" s="41"/>
      <c r="O297" s="44"/>
      <c r="P297" s="44"/>
      <c r="Q297" s="44"/>
      <c r="S297" s="41"/>
      <c r="T297" s="41"/>
      <c r="U297" s="41"/>
      <c r="V297" s="41"/>
      <c r="X297" s="44"/>
      <c r="Y297" s="44"/>
      <c r="Z297" s="44"/>
      <c r="AB297" s="41"/>
      <c r="AC297" s="41"/>
      <c r="AD297" s="41"/>
      <c r="AE297" s="41"/>
      <c r="AF297" s="41"/>
      <c r="AG297" s="44"/>
      <c r="AH297" s="44"/>
      <c r="AI297" s="44"/>
    </row>
    <row r="298" spans="10:35" x14ac:dyDescent="0.2">
      <c r="J298" s="41"/>
      <c r="K298" s="41"/>
      <c r="L298" s="41"/>
      <c r="M298" s="41"/>
      <c r="N298" s="41"/>
      <c r="O298" s="44"/>
      <c r="P298" s="44"/>
      <c r="Q298" s="44"/>
      <c r="S298" s="41"/>
      <c r="T298" s="41"/>
      <c r="U298" s="41"/>
      <c r="V298" s="41"/>
      <c r="X298" s="44"/>
      <c r="Y298" s="44"/>
      <c r="Z298" s="44"/>
      <c r="AB298" s="41"/>
      <c r="AC298" s="41"/>
      <c r="AD298" s="41"/>
      <c r="AE298" s="41"/>
      <c r="AF298" s="41"/>
      <c r="AG298" s="44"/>
      <c r="AH298" s="44"/>
      <c r="AI298" s="44"/>
    </row>
    <row r="299" spans="10:35" x14ac:dyDescent="0.2">
      <c r="J299" s="41"/>
      <c r="K299" s="41"/>
      <c r="L299" s="41"/>
      <c r="M299" s="41"/>
      <c r="N299" s="41"/>
      <c r="O299" s="44"/>
      <c r="P299" s="44"/>
      <c r="Q299" s="44"/>
      <c r="S299" s="41"/>
      <c r="T299" s="41"/>
      <c r="U299" s="41"/>
      <c r="V299" s="41"/>
      <c r="X299" s="44"/>
      <c r="Y299" s="44"/>
      <c r="Z299" s="44"/>
      <c r="AB299" s="41"/>
      <c r="AC299" s="41"/>
      <c r="AD299" s="41"/>
      <c r="AE299" s="41"/>
      <c r="AF299" s="41"/>
      <c r="AG299" s="44"/>
      <c r="AH299" s="44"/>
      <c r="AI299" s="44"/>
    </row>
    <row r="300" spans="10:35" x14ac:dyDescent="0.2">
      <c r="J300" s="41"/>
      <c r="K300" s="41"/>
      <c r="L300" s="41"/>
      <c r="M300" s="41"/>
      <c r="N300" s="41"/>
      <c r="O300" s="44"/>
      <c r="P300" s="44"/>
      <c r="Q300" s="44"/>
      <c r="S300" s="41"/>
      <c r="T300" s="41"/>
      <c r="U300" s="41"/>
      <c r="V300" s="41"/>
      <c r="X300" s="44"/>
      <c r="Y300" s="44"/>
      <c r="Z300" s="44"/>
      <c r="AB300" s="41"/>
      <c r="AC300" s="41"/>
      <c r="AD300" s="41"/>
      <c r="AE300" s="41"/>
      <c r="AF300" s="41"/>
      <c r="AG300" s="44"/>
      <c r="AH300" s="44"/>
      <c r="AI300" s="44"/>
    </row>
    <row r="301" spans="10:35" x14ac:dyDescent="0.2">
      <c r="J301" s="41"/>
      <c r="K301" s="41"/>
      <c r="L301" s="41"/>
      <c r="M301" s="41"/>
      <c r="N301" s="41"/>
      <c r="O301" s="44"/>
      <c r="P301" s="44"/>
      <c r="Q301" s="44"/>
      <c r="S301" s="41"/>
      <c r="T301" s="41"/>
      <c r="U301" s="41"/>
      <c r="V301" s="41"/>
      <c r="X301" s="44"/>
      <c r="Y301" s="44"/>
      <c r="Z301" s="44"/>
      <c r="AB301" s="41"/>
      <c r="AC301" s="41"/>
      <c r="AD301" s="41"/>
      <c r="AE301" s="41"/>
      <c r="AF301" s="41"/>
      <c r="AG301" s="44"/>
      <c r="AH301" s="44"/>
      <c r="AI301" s="44"/>
    </row>
    <row r="302" spans="10:35" x14ac:dyDescent="0.2">
      <c r="J302" s="41"/>
      <c r="K302" s="41"/>
      <c r="L302" s="41"/>
      <c r="M302" s="41"/>
      <c r="N302" s="41"/>
      <c r="O302" s="44"/>
      <c r="P302" s="44"/>
      <c r="Q302" s="44"/>
      <c r="S302" s="41"/>
      <c r="T302" s="41"/>
      <c r="U302" s="41"/>
      <c r="V302" s="41"/>
      <c r="X302" s="44"/>
      <c r="Y302" s="44"/>
      <c r="Z302" s="44"/>
      <c r="AB302" s="41"/>
      <c r="AC302" s="41"/>
      <c r="AD302" s="41"/>
      <c r="AE302" s="41"/>
      <c r="AF302" s="41"/>
      <c r="AG302" s="44"/>
      <c r="AH302" s="44"/>
      <c r="AI302" s="44"/>
    </row>
    <row r="303" spans="10:35" x14ac:dyDescent="0.2">
      <c r="J303" s="41"/>
      <c r="K303" s="41"/>
      <c r="L303" s="41"/>
      <c r="M303" s="41"/>
      <c r="N303" s="41"/>
      <c r="O303" s="44"/>
      <c r="P303" s="44"/>
      <c r="Q303" s="44"/>
      <c r="S303" s="41"/>
      <c r="T303" s="41"/>
      <c r="U303" s="41"/>
      <c r="V303" s="41"/>
      <c r="X303" s="44"/>
      <c r="Y303" s="44"/>
      <c r="Z303" s="44"/>
      <c r="AB303" s="41"/>
      <c r="AC303" s="41"/>
      <c r="AD303" s="41"/>
      <c r="AE303" s="41"/>
      <c r="AF303" s="41"/>
      <c r="AG303" s="44"/>
      <c r="AH303" s="44"/>
      <c r="AI303" s="44"/>
    </row>
    <row r="304" spans="10:35" x14ac:dyDescent="0.2">
      <c r="J304" s="41"/>
      <c r="K304" s="41"/>
      <c r="L304" s="41"/>
      <c r="M304" s="41"/>
      <c r="N304" s="41"/>
      <c r="O304" s="44"/>
      <c r="P304" s="44"/>
      <c r="Q304" s="44"/>
      <c r="S304" s="41"/>
      <c r="T304" s="41"/>
      <c r="U304" s="41"/>
      <c r="V304" s="41"/>
      <c r="X304" s="44"/>
      <c r="Y304" s="44"/>
      <c r="Z304" s="44"/>
      <c r="AB304" s="41"/>
      <c r="AC304" s="41"/>
      <c r="AD304" s="41"/>
      <c r="AE304" s="41"/>
      <c r="AF304" s="41"/>
      <c r="AG304" s="44"/>
      <c r="AH304" s="44"/>
      <c r="AI304" s="44"/>
    </row>
    <row r="305" spans="10:35" x14ac:dyDescent="0.2">
      <c r="J305" s="41"/>
      <c r="K305" s="41"/>
      <c r="L305" s="41"/>
      <c r="M305" s="41"/>
      <c r="N305" s="41"/>
      <c r="O305" s="44"/>
      <c r="P305" s="44"/>
      <c r="Q305" s="44"/>
      <c r="S305" s="41"/>
      <c r="T305" s="41"/>
      <c r="U305" s="41"/>
      <c r="V305" s="41"/>
      <c r="X305" s="44"/>
      <c r="Y305" s="44"/>
      <c r="Z305" s="44"/>
      <c r="AB305" s="41"/>
      <c r="AC305" s="41"/>
      <c r="AD305" s="41"/>
      <c r="AE305" s="41"/>
      <c r="AF305" s="41"/>
      <c r="AG305" s="44"/>
      <c r="AH305" s="44"/>
      <c r="AI305" s="44"/>
    </row>
    <row r="306" spans="10:35" x14ac:dyDescent="0.2">
      <c r="J306" s="41"/>
      <c r="K306" s="41"/>
      <c r="L306" s="41"/>
      <c r="M306" s="41"/>
      <c r="N306" s="41"/>
      <c r="O306" s="44"/>
      <c r="P306" s="44"/>
      <c r="Q306" s="44"/>
      <c r="S306" s="41"/>
      <c r="T306" s="41"/>
      <c r="U306" s="41"/>
      <c r="V306" s="41"/>
      <c r="X306" s="44"/>
      <c r="Y306" s="44"/>
      <c r="Z306" s="44"/>
      <c r="AB306" s="41"/>
      <c r="AC306" s="41"/>
      <c r="AD306" s="41"/>
      <c r="AE306" s="41"/>
      <c r="AF306" s="41"/>
      <c r="AG306" s="44"/>
      <c r="AH306" s="44"/>
      <c r="AI306" s="44"/>
    </row>
    <row r="307" spans="10:35" x14ac:dyDescent="0.2">
      <c r="J307" s="41"/>
      <c r="K307" s="41"/>
      <c r="L307" s="41"/>
      <c r="M307" s="41"/>
      <c r="N307" s="41"/>
      <c r="O307" s="44"/>
      <c r="P307" s="44"/>
      <c r="Q307" s="44"/>
      <c r="S307" s="41"/>
      <c r="T307" s="41"/>
      <c r="U307" s="41"/>
      <c r="V307" s="41"/>
      <c r="X307" s="44"/>
      <c r="Y307" s="44"/>
      <c r="Z307" s="44"/>
      <c r="AB307" s="41"/>
      <c r="AC307" s="41"/>
      <c r="AD307" s="41"/>
      <c r="AE307" s="41"/>
      <c r="AF307" s="41"/>
      <c r="AG307" s="44"/>
      <c r="AH307" s="44"/>
      <c r="AI307" s="44"/>
    </row>
    <row r="308" spans="10:35" x14ac:dyDescent="0.2">
      <c r="J308" s="41"/>
      <c r="K308" s="41"/>
      <c r="L308" s="41"/>
      <c r="M308" s="41"/>
      <c r="N308" s="41"/>
      <c r="O308" s="44"/>
      <c r="P308" s="44"/>
      <c r="Q308" s="44"/>
      <c r="S308" s="41"/>
      <c r="T308" s="41"/>
      <c r="U308" s="41"/>
      <c r="V308" s="41"/>
      <c r="X308" s="44"/>
      <c r="Y308" s="44"/>
      <c r="Z308" s="44"/>
      <c r="AB308" s="41"/>
      <c r="AC308" s="41"/>
      <c r="AD308" s="41"/>
      <c r="AE308" s="41"/>
      <c r="AF308" s="41"/>
      <c r="AG308" s="44"/>
      <c r="AH308" s="44"/>
      <c r="AI308" s="44"/>
    </row>
    <row r="309" spans="10:35" x14ac:dyDescent="0.2">
      <c r="J309" s="41"/>
      <c r="K309" s="41"/>
      <c r="L309" s="41"/>
      <c r="M309" s="41"/>
      <c r="N309" s="41"/>
      <c r="O309" s="44"/>
      <c r="P309" s="44"/>
      <c r="Q309" s="44"/>
      <c r="S309" s="41"/>
      <c r="T309" s="41"/>
      <c r="U309" s="41"/>
      <c r="V309" s="41"/>
      <c r="X309" s="44"/>
      <c r="Y309" s="44"/>
      <c r="Z309" s="44"/>
      <c r="AB309" s="41"/>
      <c r="AC309" s="41"/>
      <c r="AD309" s="41"/>
      <c r="AE309" s="41"/>
      <c r="AF309" s="41"/>
      <c r="AG309" s="44"/>
      <c r="AH309" s="44"/>
      <c r="AI309" s="44"/>
    </row>
    <row r="310" spans="10:35" x14ac:dyDescent="0.2">
      <c r="J310" s="41"/>
      <c r="K310" s="41"/>
      <c r="L310" s="41"/>
      <c r="M310" s="41"/>
      <c r="N310" s="41"/>
      <c r="O310" s="44"/>
      <c r="P310" s="44"/>
      <c r="Q310" s="44"/>
      <c r="S310" s="41"/>
      <c r="T310" s="41"/>
      <c r="U310" s="41"/>
      <c r="V310" s="41"/>
      <c r="X310" s="44"/>
      <c r="Y310" s="44"/>
      <c r="Z310" s="44"/>
      <c r="AB310" s="41"/>
      <c r="AC310" s="41"/>
      <c r="AD310" s="41"/>
      <c r="AE310" s="41"/>
      <c r="AF310" s="41"/>
      <c r="AG310" s="44"/>
      <c r="AH310" s="44"/>
      <c r="AI310" s="44"/>
    </row>
    <row r="311" spans="10:35" x14ac:dyDescent="0.2">
      <c r="J311" s="41"/>
      <c r="K311" s="41"/>
      <c r="L311" s="41"/>
      <c r="M311" s="41"/>
      <c r="N311" s="41"/>
      <c r="O311" s="44"/>
      <c r="P311" s="44"/>
      <c r="Q311" s="44"/>
      <c r="S311" s="41"/>
      <c r="T311" s="41"/>
      <c r="U311" s="41"/>
      <c r="V311" s="41"/>
      <c r="X311" s="44"/>
      <c r="Y311" s="44"/>
      <c r="Z311" s="44"/>
      <c r="AB311" s="41"/>
      <c r="AC311" s="41"/>
      <c r="AD311" s="41"/>
      <c r="AE311" s="41"/>
      <c r="AF311" s="41"/>
      <c r="AG311" s="44"/>
      <c r="AH311" s="44"/>
      <c r="AI311" s="44"/>
    </row>
    <row r="312" spans="10:35" x14ac:dyDescent="0.2">
      <c r="J312" s="41"/>
      <c r="K312" s="41"/>
      <c r="L312" s="41"/>
      <c r="M312" s="41"/>
      <c r="N312" s="41"/>
      <c r="O312" s="44"/>
      <c r="P312" s="44"/>
      <c r="Q312" s="44"/>
      <c r="S312" s="41"/>
      <c r="T312" s="41"/>
      <c r="U312" s="41"/>
      <c r="V312" s="41"/>
      <c r="X312" s="44"/>
      <c r="Y312" s="44"/>
      <c r="Z312" s="44"/>
      <c r="AB312" s="41"/>
      <c r="AC312" s="41"/>
      <c r="AD312" s="41"/>
      <c r="AE312" s="41"/>
      <c r="AF312" s="41"/>
      <c r="AG312" s="44"/>
      <c r="AH312" s="44"/>
      <c r="AI312" s="44"/>
    </row>
    <row r="313" spans="10:35" x14ac:dyDescent="0.2">
      <c r="J313" s="41"/>
      <c r="K313" s="41"/>
      <c r="L313" s="41"/>
      <c r="M313" s="41"/>
      <c r="N313" s="41"/>
      <c r="O313" s="44"/>
      <c r="P313" s="44"/>
      <c r="Q313" s="44"/>
      <c r="S313" s="41"/>
      <c r="T313" s="41"/>
      <c r="U313" s="41"/>
      <c r="V313" s="41"/>
      <c r="X313" s="44"/>
      <c r="Y313" s="44"/>
      <c r="Z313" s="44"/>
      <c r="AB313" s="41"/>
      <c r="AC313" s="41"/>
      <c r="AD313" s="41"/>
      <c r="AE313" s="41"/>
      <c r="AF313" s="41"/>
      <c r="AG313" s="44"/>
      <c r="AH313" s="44"/>
      <c r="AI313" s="44"/>
    </row>
    <row r="314" spans="10:35" x14ac:dyDescent="0.2">
      <c r="J314" s="41"/>
      <c r="K314" s="41"/>
      <c r="L314" s="41"/>
      <c r="M314" s="41"/>
      <c r="N314" s="41"/>
      <c r="O314" s="44"/>
      <c r="P314" s="44"/>
      <c r="Q314" s="44"/>
      <c r="S314" s="41"/>
      <c r="T314" s="41"/>
      <c r="U314" s="41"/>
      <c r="V314" s="41"/>
      <c r="X314" s="44"/>
      <c r="Y314" s="44"/>
      <c r="Z314" s="44"/>
      <c r="AB314" s="41"/>
      <c r="AC314" s="41"/>
      <c r="AD314" s="41"/>
      <c r="AE314" s="41"/>
      <c r="AF314" s="41"/>
      <c r="AG314" s="44"/>
      <c r="AH314" s="44"/>
      <c r="AI314" s="44"/>
    </row>
    <row r="315" spans="10:35" x14ac:dyDescent="0.2">
      <c r="J315" s="41"/>
      <c r="K315" s="41"/>
      <c r="L315" s="41"/>
      <c r="M315" s="41"/>
      <c r="N315" s="41"/>
      <c r="O315" s="44"/>
      <c r="P315" s="44"/>
      <c r="Q315" s="44"/>
      <c r="S315" s="41"/>
      <c r="T315" s="41"/>
      <c r="U315" s="41"/>
      <c r="V315" s="41"/>
      <c r="X315" s="44"/>
      <c r="Y315" s="44"/>
      <c r="Z315" s="44"/>
      <c r="AB315" s="41"/>
      <c r="AC315" s="41"/>
      <c r="AD315" s="41"/>
      <c r="AE315" s="41"/>
      <c r="AF315" s="41"/>
      <c r="AG315" s="44"/>
      <c r="AH315" s="44"/>
      <c r="AI315" s="44"/>
    </row>
    <row r="316" spans="10:35" x14ac:dyDescent="0.2">
      <c r="J316" s="41"/>
      <c r="K316" s="41"/>
      <c r="L316" s="41"/>
      <c r="M316" s="41"/>
      <c r="N316" s="41"/>
      <c r="O316" s="44"/>
      <c r="P316" s="44"/>
      <c r="Q316" s="44"/>
      <c r="S316" s="41"/>
      <c r="T316" s="41"/>
      <c r="U316" s="41"/>
      <c r="V316" s="41"/>
      <c r="X316" s="44"/>
      <c r="Y316" s="44"/>
      <c r="Z316" s="44"/>
      <c r="AB316" s="41"/>
      <c r="AC316" s="41"/>
      <c r="AD316" s="41"/>
      <c r="AE316" s="41"/>
      <c r="AF316" s="41"/>
      <c r="AG316" s="44"/>
      <c r="AH316" s="44"/>
      <c r="AI316" s="44"/>
    </row>
    <row r="317" spans="10:35" x14ac:dyDescent="0.2">
      <c r="J317" s="41"/>
      <c r="K317" s="41"/>
      <c r="L317" s="41"/>
      <c r="M317" s="41"/>
      <c r="N317" s="41"/>
      <c r="O317" s="44"/>
      <c r="P317" s="44"/>
      <c r="Q317" s="44"/>
      <c r="S317" s="41"/>
      <c r="T317" s="41"/>
      <c r="U317" s="41"/>
      <c r="V317" s="41"/>
      <c r="X317" s="44"/>
      <c r="Y317" s="44"/>
      <c r="Z317" s="44"/>
      <c r="AB317" s="41"/>
      <c r="AC317" s="41"/>
      <c r="AD317" s="41"/>
      <c r="AE317" s="41"/>
      <c r="AF317" s="41"/>
      <c r="AG317" s="44"/>
      <c r="AH317" s="44"/>
      <c r="AI317" s="44"/>
    </row>
    <row r="318" spans="10:35" x14ac:dyDescent="0.2">
      <c r="J318" s="41"/>
      <c r="K318" s="41"/>
      <c r="L318" s="41"/>
      <c r="M318" s="41"/>
      <c r="N318" s="41"/>
      <c r="O318" s="44"/>
      <c r="P318" s="44"/>
      <c r="Q318" s="44"/>
      <c r="S318" s="41"/>
      <c r="T318" s="41"/>
      <c r="U318" s="41"/>
      <c r="V318" s="41"/>
      <c r="X318" s="44"/>
      <c r="Y318" s="44"/>
      <c r="Z318" s="44"/>
      <c r="AB318" s="41"/>
      <c r="AC318" s="41"/>
      <c r="AD318" s="41"/>
      <c r="AE318" s="41"/>
      <c r="AF318" s="41"/>
      <c r="AG318" s="44"/>
      <c r="AH318" s="44"/>
      <c r="AI318" s="44"/>
    </row>
    <row r="319" spans="10:35" x14ac:dyDescent="0.2">
      <c r="J319" s="41"/>
      <c r="K319" s="41"/>
      <c r="L319" s="41"/>
      <c r="M319" s="41"/>
      <c r="N319" s="41"/>
      <c r="O319" s="44"/>
      <c r="P319" s="44"/>
      <c r="Q319" s="44"/>
      <c r="S319" s="41"/>
      <c r="T319" s="41"/>
      <c r="U319" s="41"/>
      <c r="V319" s="41"/>
      <c r="X319" s="44"/>
      <c r="Y319" s="44"/>
      <c r="Z319" s="44"/>
      <c r="AB319" s="41"/>
      <c r="AC319" s="41"/>
      <c r="AD319" s="41"/>
      <c r="AE319" s="41"/>
      <c r="AF319" s="41"/>
      <c r="AG319" s="44"/>
      <c r="AH319" s="44"/>
      <c r="AI319" s="44"/>
    </row>
    <row r="320" spans="10:35" x14ac:dyDescent="0.2">
      <c r="J320" s="41"/>
      <c r="K320" s="41"/>
      <c r="L320" s="41"/>
      <c r="M320" s="41"/>
      <c r="N320" s="41"/>
      <c r="O320" s="44"/>
      <c r="P320" s="44"/>
      <c r="Q320" s="44"/>
      <c r="S320" s="41"/>
      <c r="T320" s="41"/>
      <c r="U320" s="41"/>
      <c r="V320" s="41"/>
      <c r="X320" s="44"/>
      <c r="Y320" s="44"/>
      <c r="Z320" s="44"/>
      <c r="AB320" s="41"/>
      <c r="AC320" s="41"/>
      <c r="AD320" s="41"/>
      <c r="AE320" s="41"/>
      <c r="AF320" s="41"/>
      <c r="AG320" s="44"/>
      <c r="AH320" s="44"/>
      <c r="AI320" s="44"/>
    </row>
    <row r="321" spans="10:35" x14ac:dyDescent="0.2">
      <c r="J321" s="41"/>
      <c r="K321" s="41"/>
      <c r="L321" s="41"/>
      <c r="M321" s="41"/>
      <c r="N321" s="41"/>
      <c r="O321" s="44"/>
      <c r="P321" s="44"/>
      <c r="Q321" s="44"/>
      <c r="S321" s="41"/>
      <c r="T321" s="41"/>
      <c r="U321" s="41"/>
      <c r="V321" s="41"/>
      <c r="X321" s="44"/>
      <c r="Y321" s="44"/>
      <c r="Z321" s="44"/>
      <c r="AB321" s="41"/>
      <c r="AC321" s="41"/>
      <c r="AD321" s="41"/>
      <c r="AE321" s="41"/>
      <c r="AF321" s="41"/>
      <c r="AG321" s="44"/>
      <c r="AH321" s="44"/>
      <c r="AI321" s="44"/>
    </row>
    <row r="322" spans="10:35" x14ac:dyDescent="0.2">
      <c r="J322" s="41"/>
      <c r="K322" s="41"/>
      <c r="L322" s="41"/>
      <c r="M322" s="41"/>
      <c r="N322" s="41"/>
      <c r="O322" s="44"/>
      <c r="P322" s="44"/>
      <c r="Q322" s="44"/>
      <c r="S322" s="41"/>
      <c r="T322" s="41"/>
      <c r="U322" s="41"/>
      <c r="V322" s="41"/>
      <c r="X322" s="44"/>
      <c r="Y322" s="44"/>
      <c r="Z322" s="44"/>
      <c r="AB322" s="41"/>
      <c r="AC322" s="41"/>
      <c r="AD322" s="41"/>
      <c r="AE322" s="41"/>
      <c r="AF322" s="41"/>
      <c r="AG322" s="44"/>
      <c r="AH322" s="44"/>
      <c r="AI322" s="44"/>
    </row>
    <row r="323" spans="10:35" x14ac:dyDescent="0.2">
      <c r="J323" s="41"/>
      <c r="K323" s="41"/>
      <c r="L323" s="41"/>
      <c r="M323" s="41"/>
      <c r="N323" s="41"/>
      <c r="O323" s="44"/>
      <c r="P323" s="44"/>
      <c r="Q323" s="44"/>
      <c r="S323" s="41"/>
      <c r="T323" s="41"/>
      <c r="U323" s="41"/>
      <c r="V323" s="41"/>
      <c r="X323" s="44"/>
      <c r="Y323" s="44"/>
      <c r="Z323" s="44"/>
      <c r="AB323" s="41"/>
      <c r="AC323" s="41"/>
      <c r="AD323" s="41"/>
      <c r="AE323" s="41"/>
      <c r="AF323" s="41"/>
      <c r="AG323" s="44"/>
      <c r="AH323" s="44"/>
      <c r="AI323" s="44"/>
    </row>
    <row r="324" spans="10:35" x14ac:dyDescent="0.2">
      <c r="J324" s="41"/>
      <c r="K324" s="41"/>
      <c r="L324" s="41"/>
      <c r="M324" s="41"/>
      <c r="N324" s="41"/>
      <c r="O324" s="44"/>
      <c r="P324" s="44"/>
      <c r="Q324" s="44"/>
      <c r="S324" s="41"/>
      <c r="T324" s="41"/>
      <c r="U324" s="41"/>
      <c r="V324" s="41"/>
      <c r="X324" s="44"/>
      <c r="Y324" s="44"/>
      <c r="Z324" s="44"/>
      <c r="AB324" s="41"/>
      <c r="AC324" s="41"/>
      <c r="AD324" s="41"/>
      <c r="AE324" s="41"/>
      <c r="AF324" s="41"/>
      <c r="AG324" s="44"/>
      <c r="AH324" s="44"/>
      <c r="AI324" s="44"/>
    </row>
    <row r="325" spans="10:35" x14ac:dyDescent="0.2">
      <c r="J325" s="41"/>
      <c r="K325" s="41"/>
      <c r="L325" s="41"/>
      <c r="M325" s="41"/>
      <c r="N325" s="41"/>
      <c r="O325" s="44"/>
      <c r="P325" s="44"/>
      <c r="Q325" s="44"/>
      <c r="S325" s="41"/>
      <c r="T325" s="41"/>
      <c r="U325" s="41"/>
      <c r="V325" s="41"/>
      <c r="X325" s="44"/>
      <c r="Y325" s="44"/>
      <c r="Z325" s="44"/>
      <c r="AB325" s="41"/>
      <c r="AC325" s="41"/>
      <c r="AD325" s="41"/>
      <c r="AE325" s="41"/>
      <c r="AF325" s="41"/>
      <c r="AG325" s="44"/>
      <c r="AH325" s="44"/>
      <c r="AI325" s="44"/>
    </row>
    <row r="326" spans="10:35" x14ac:dyDescent="0.2">
      <c r="J326" s="41"/>
      <c r="K326" s="41"/>
      <c r="L326" s="41"/>
      <c r="M326" s="41"/>
      <c r="N326" s="41"/>
      <c r="O326" s="44"/>
      <c r="P326" s="44"/>
      <c r="Q326" s="44"/>
      <c r="S326" s="41"/>
      <c r="T326" s="41"/>
      <c r="U326" s="41"/>
      <c r="V326" s="41"/>
      <c r="X326" s="44"/>
      <c r="Y326" s="44"/>
      <c r="Z326" s="44"/>
      <c r="AB326" s="41"/>
      <c r="AC326" s="41"/>
      <c r="AD326" s="41"/>
      <c r="AE326" s="41"/>
      <c r="AF326" s="41"/>
      <c r="AG326" s="44"/>
      <c r="AH326" s="44"/>
      <c r="AI326" s="44"/>
    </row>
    <row r="327" spans="10:35" x14ac:dyDescent="0.2">
      <c r="J327" s="41"/>
      <c r="K327" s="41"/>
      <c r="L327" s="41"/>
      <c r="M327" s="41"/>
      <c r="N327" s="41"/>
      <c r="O327" s="44"/>
      <c r="P327" s="44"/>
      <c r="Q327" s="44"/>
      <c r="S327" s="41"/>
      <c r="T327" s="41"/>
      <c r="U327" s="41"/>
      <c r="V327" s="41"/>
      <c r="X327" s="44"/>
      <c r="Y327" s="44"/>
      <c r="Z327" s="44"/>
      <c r="AB327" s="41"/>
      <c r="AC327" s="41"/>
      <c r="AD327" s="41"/>
      <c r="AE327" s="41"/>
      <c r="AF327" s="41"/>
      <c r="AG327" s="44"/>
      <c r="AH327" s="44"/>
      <c r="AI327" s="44"/>
    </row>
    <row r="328" spans="10:35" x14ac:dyDescent="0.2">
      <c r="J328" s="41"/>
      <c r="K328" s="41"/>
      <c r="L328" s="41"/>
      <c r="M328" s="41"/>
      <c r="N328" s="41"/>
      <c r="O328" s="44"/>
      <c r="P328" s="44"/>
      <c r="Q328" s="44"/>
      <c r="S328" s="41"/>
      <c r="T328" s="41"/>
      <c r="U328" s="41"/>
      <c r="V328" s="41"/>
      <c r="X328" s="44"/>
      <c r="Y328" s="44"/>
      <c r="Z328" s="44"/>
      <c r="AB328" s="41"/>
      <c r="AC328" s="41"/>
      <c r="AD328" s="41"/>
      <c r="AE328" s="41"/>
      <c r="AF328" s="41"/>
      <c r="AG328" s="44"/>
      <c r="AH328" s="44"/>
      <c r="AI328" s="44"/>
    </row>
    <row r="329" spans="10:35" x14ac:dyDescent="0.2">
      <c r="J329" s="41"/>
      <c r="K329" s="41"/>
      <c r="L329" s="41"/>
      <c r="M329" s="41"/>
      <c r="N329" s="41"/>
      <c r="O329" s="44"/>
      <c r="P329" s="44"/>
      <c r="Q329" s="44"/>
      <c r="S329" s="41"/>
      <c r="T329" s="41"/>
      <c r="U329" s="41"/>
      <c r="V329" s="41"/>
      <c r="X329" s="44"/>
      <c r="Y329" s="44"/>
      <c r="Z329" s="44"/>
      <c r="AB329" s="41"/>
      <c r="AC329" s="41"/>
      <c r="AD329" s="41"/>
      <c r="AE329" s="41"/>
      <c r="AF329" s="41"/>
      <c r="AG329" s="44"/>
      <c r="AH329" s="44"/>
      <c r="AI329" s="44"/>
    </row>
    <row r="330" spans="10:35" x14ac:dyDescent="0.2">
      <c r="J330" s="41"/>
      <c r="K330" s="41"/>
      <c r="L330" s="41"/>
      <c r="M330" s="41"/>
      <c r="N330" s="41"/>
      <c r="O330" s="44"/>
      <c r="P330" s="44"/>
      <c r="Q330" s="44"/>
      <c r="S330" s="41"/>
      <c r="T330" s="41"/>
      <c r="U330" s="41"/>
      <c r="V330" s="41"/>
      <c r="X330" s="44"/>
      <c r="Y330" s="44"/>
      <c r="Z330" s="44"/>
      <c r="AB330" s="41"/>
      <c r="AC330" s="41"/>
      <c r="AD330" s="41"/>
      <c r="AE330" s="41"/>
      <c r="AF330" s="41"/>
      <c r="AG330" s="44"/>
      <c r="AH330" s="44"/>
      <c r="AI330" s="44"/>
    </row>
    <row r="331" spans="10:35" x14ac:dyDescent="0.2">
      <c r="J331" s="41"/>
      <c r="K331" s="41"/>
      <c r="L331" s="41"/>
      <c r="M331" s="41"/>
      <c r="N331" s="41"/>
      <c r="O331" s="44"/>
      <c r="P331" s="44"/>
      <c r="Q331" s="44"/>
      <c r="S331" s="41"/>
      <c r="T331" s="41"/>
      <c r="U331" s="41"/>
      <c r="V331" s="41"/>
      <c r="X331" s="44"/>
      <c r="Y331" s="44"/>
      <c r="Z331" s="44"/>
      <c r="AB331" s="41"/>
      <c r="AC331" s="41"/>
      <c r="AD331" s="41"/>
      <c r="AE331" s="41"/>
      <c r="AF331" s="41"/>
      <c r="AG331" s="44"/>
      <c r="AH331" s="44"/>
      <c r="AI331" s="44"/>
    </row>
    <row r="332" spans="10:35" x14ac:dyDescent="0.2">
      <c r="J332" s="41"/>
      <c r="K332" s="41"/>
      <c r="L332" s="41"/>
      <c r="M332" s="41"/>
      <c r="N332" s="41"/>
      <c r="O332" s="44"/>
      <c r="P332" s="44"/>
      <c r="Q332" s="44"/>
      <c r="S332" s="41"/>
      <c r="T332" s="41"/>
      <c r="U332" s="41"/>
      <c r="V332" s="41"/>
      <c r="X332" s="44"/>
      <c r="Y332" s="44"/>
      <c r="Z332" s="44"/>
      <c r="AB332" s="41"/>
      <c r="AC332" s="41"/>
      <c r="AD332" s="41"/>
      <c r="AE332" s="41"/>
      <c r="AF332" s="41"/>
      <c r="AG332" s="44"/>
      <c r="AH332" s="44"/>
      <c r="AI332" s="44"/>
    </row>
    <row r="333" spans="10:35" x14ac:dyDescent="0.2">
      <c r="J333" s="41"/>
      <c r="K333" s="41"/>
      <c r="L333" s="41"/>
      <c r="M333" s="41"/>
      <c r="N333" s="41"/>
      <c r="O333" s="44"/>
      <c r="P333" s="44"/>
      <c r="Q333" s="44"/>
      <c r="S333" s="41"/>
      <c r="T333" s="41"/>
      <c r="U333" s="41"/>
      <c r="V333" s="41"/>
      <c r="X333" s="44"/>
      <c r="Y333" s="44"/>
      <c r="Z333" s="44"/>
      <c r="AB333" s="41"/>
      <c r="AC333" s="41"/>
      <c r="AD333" s="41"/>
      <c r="AE333" s="41"/>
      <c r="AF333" s="41"/>
      <c r="AG333" s="44"/>
      <c r="AH333" s="44"/>
      <c r="AI333" s="44"/>
    </row>
    <row r="334" spans="10:35" x14ac:dyDescent="0.2">
      <c r="J334" s="41"/>
      <c r="K334" s="41"/>
      <c r="L334" s="41"/>
      <c r="M334" s="41"/>
      <c r="N334" s="41"/>
      <c r="O334" s="44"/>
      <c r="P334" s="44"/>
      <c r="Q334" s="44"/>
      <c r="S334" s="41"/>
      <c r="T334" s="41"/>
      <c r="U334" s="41"/>
      <c r="V334" s="41"/>
      <c r="X334" s="44"/>
      <c r="Y334" s="44"/>
      <c r="Z334" s="44"/>
      <c r="AB334" s="41"/>
      <c r="AC334" s="41"/>
      <c r="AD334" s="41"/>
      <c r="AE334" s="41"/>
      <c r="AF334" s="41"/>
      <c r="AG334" s="44"/>
      <c r="AH334" s="44"/>
      <c r="AI334" s="44"/>
    </row>
    <row r="335" spans="10:35" x14ac:dyDescent="0.2">
      <c r="J335" s="41"/>
      <c r="K335" s="41"/>
      <c r="L335" s="41"/>
      <c r="M335" s="41"/>
      <c r="N335" s="41"/>
      <c r="O335" s="44"/>
      <c r="P335" s="44"/>
      <c r="Q335" s="44"/>
      <c r="S335" s="41"/>
      <c r="T335" s="41"/>
      <c r="U335" s="41"/>
      <c r="V335" s="41"/>
      <c r="X335" s="44"/>
      <c r="Y335" s="44"/>
      <c r="Z335" s="44"/>
      <c r="AB335" s="41"/>
      <c r="AC335" s="41"/>
      <c r="AD335" s="41"/>
      <c r="AE335" s="41"/>
      <c r="AF335" s="41"/>
      <c r="AG335" s="44"/>
      <c r="AH335" s="44"/>
      <c r="AI335" s="44"/>
    </row>
    <row r="336" spans="10:35" x14ac:dyDescent="0.2">
      <c r="J336" s="41"/>
      <c r="K336" s="41"/>
      <c r="L336" s="41"/>
      <c r="M336" s="41"/>
      <c r="N336" s="41"/>
      <c r="O336" s="44"/>
      <c r="P336" s="44"/>
      <c r="Q336" s="44"/>
      <c r="S336" s="41"/>
      <c r="T336" s="41"/>
      <c r="U336" s="41"/>
      <c r="V336" s="41"/>
      <c r="X336" s="44"/>
      <c r="Y336" s="44"/>
      <c r="Z336" s="44"/>
      <c r="AB336" s="41"/>
      <c r="AC336" s="41"/>
      <c r="AD336" s="41"/>
      <c r="AE336" s="41"/>
      <c r="AF336" s="41"/>
      <c r="AG336" s="44"/>
      <c r="AH336" s="44"/>
      <c r="AI336" s="44"/>
    </row>
    <row r="337" spans="10:35" x14ac:dyDescent="0.2">
      <c r="J337" s="41"/>
      <c r="K337" s="41"/>
      <c r="L337" s="41"/>
      <c r="M337" s="41"/>
      <c r="N337" s="41"/>
      <c r="O337" s="44"/>
      <c r="P337" s="44"/>
      <c r="Q337" s="44"/>
      <c r="S337" s="41"/>
      <c r="T337" s="41"/>
      <c r="U337" s="41"/>
      <c r="V337" s="41"/>
      <c r="X337" s="44"/>
      <c r="Y337" s="44"/>
      <c r="Z337" s="44"/>
      <c r="AB337" s="41"/>
      <c r="AC337" s="41"/>
      <c r="AD337" s="41"/>
      <c r="AE337" s="41"/>
      <c r="AF337" s="41"/>
      <c r="AG337" s="44"/>
      <c r="AH337" s="44"/>
      <c r="AI337" s="44"/>
    </row>
    <row r="338" spans="10:35" x14ac:dyDescent="0.2">
      <c r="J338" s="41"/>
      <c r="K338" s="41"/>
      <c r="L338" s="41"/>
      <c r="M338" s="41"/>
      <c r="N338" s="41"/>
      <c r="O338" s="44"/>
      <c r="P338" s="44"/>
      <c r="Q338" s="44"/>
      <c r="S338" s="41"/>
      <c r="T338" s="41"/>
      <c r="U338" s="41"/>
      <c r="V338" s="41"/>
      <c r="X338" s="44"/>
      <c r="Y338" s="44"/>
      <c r="Z338" s="44"/>
      <c r="AB338" s="41"/>
      <c r="AC338" s="41"/>
      <c r="AD338" s="41"/>
      <c r="AE338" s="41"/>
      <c r="AF338" s="41"/>
      <c r="AG338" s="44"/>
      <c r="AH338" s="44"/>
      <c r="AI338" s="44"/>
    </row>
    <row r="339" spans="10:35" x14ac:dyDescent="0.2">
      <c r="J339" s="41"/>
      <c r="K339" s="41"/>
      <c r="L339" s="41"/>
      <c r="M339" s="41"/>
      <c r="N339" s="41"/>
      <c r="O339" s="44"/>
      <c r="P339" s="44"/>
      <c r="Q339" s="44"/>
      <c r="S339" s="41"/>
      <c r="T339" s="41"/>
      <c r="U339" s="41"/>
      <c r="V339" s="41"/>
      <c r="X339" s="44"/>
      <c r="Y339" s="44"/>
      <c r="Z339" s="44"/>
      <c r="AB339" s="41"/>
      <c r="AC339" s="41"/>
      <c r="AD339" s="41"/>
      <c r="AE339" s="41"/>
      <c r="AF339" s="41"/>
      <c r="AG339" s="44"/>
      <c r="AH339" s="44"/>
      <c r="AI339" s="44"/>
    </row>
    <row r="340" spans="10:35" x14ac:dyDescent="0.2">
      <c r="J340" s="41"/>
      <c r="K340" s="41"/>
      <c r="L340" s="41"/>
      <c r="M340" s="41"/>
      <c r="N340" s="41"/>
      <c r="O340" s="44"/>
      <c r="P340" s="44"/>
      <c r="Q340" s="44"/>
      <c r="S340" s="41"/>
      <c r="T340" s="41"/>
      <c r="U340" s="41"/>
      <c r="V340" s="41"/>
      <c r="X340" s="44"/>
      <c r="Y340" s="44"/>
      <c r="Z340" s="44"/>
      <c r="AB340" s="41"/>
      <c r="AC340" s="41"/>
      <c r="AD340" s="41"/>
      <c r="AE340" s="41"/>
      <c r="AF340" s="41"/>
      <c r="AG340" s="44"/>
      <c r="AH340" s="44"/>
      <c r="AI340" s="44"/>
    </row>
    <row r="341" spans="10:35" x14ac:dyDescent="0.2">
      <c r="J341" s="41"/>
      <c r="K341" s="41"/>
      <c r="L341" s="41"/>
      <c r="M341" s="41"/>
      <c r="N341" s="41"/>
      <c r="O341" s="44"/>
      <c r="P341" s="44"/>
      <c r="Q341" s="44"/>
      <c r="S341" s="41"/>
      <c r="T341" s="41"/>
      <c r="U341" s="41"/>
      <c r="V341" s="41"/>
      <c r="X341" s="44"/>
      <c r="Y341" s="44"/>
      <c r="Z341" s="44"/>
      <c r="AB341" s="41"/>
      <c r="AC341" s="41"/>
      <c r="AD341" s="41"/>
      <c r="AE341" s="41"/>
      <c r="AF341" s="41"/>
      <c r="AG341" s="44"/>
      <c r="AH341" s="44"/>
      <c r="AI341" s="44"/>
    </row>
    <row r="342" spans="10:35" x14ac:dyDescent="0.2">
      <c r="J342" s="41"/>
      <c r="K342" s="41"/>
      <c r="L342" s="41"/>
      <c r="M342" s="41"/>
      <c r="N342" s="41"/>
      <c r="O342" s="44"/>
      <c r="P342" s="44"/>
      <c r="Q342" s="44"/>
      <c r="S342" s="41"/>
      <c r="T342" s="41"/>
      <c r="U342" s="41"/>
      <c r="V342" s="41"/>
      <c r="X342" s="44"/>
      <c r="Y342" s="44"/>
      <c r="Z342" s="44"/>
      <c r="AB342" s="41"/>
      <c r="AC342" s="41"/>
      <c r="AD342" s="41"/>
      <c r="AE342" s="41"/>
      <c r="AF342" s="41"/>
      <c r="AG342" s="44"/>
      <c r="AH342" s="44"/>
      <c r="AI342" s="44"/>
    </row>
    <row r="343" spans="10:35" x14ac:dyDescent="0.2">
      <c r="J343" s="41"/>
      <c r="K343" s="41"/>
      <c r="L343" s="41"/>
      <c r="M343" s="41"/>
      <c r="N343" s="41"/>
      <c r="O343" s="44"/>
      <c r="P343" s="44"/>
      <c r="Q343" s="44"/>
      <c r="S343" s="41"/>
      <c r="T343" s="41"/>
      <c r="U343" s="41"/>
      <c r="V343" s="41"/>
      <c r="X343" s="44"/>
      <c r="Y343" s="44"/>
      <c r="Z343" s="44"/>
      <c r="AB343" s="41"/>
      <c r="AC343" s="41"/>
      <c r="AD343" s="41"/>
      <c r="AE343" s="41"/>
      <c r="AF343" s="41"/>
      <c r="AG343" s="44"/>
      <c r="AH343" s="44"/>
      <c r="AI343" s="44"/>
    </row>
    <row r="344" spans="10:35" x14ac:dyDescent="0.2">
      <c r="J344" s="41"/>
      <c r="K344" s="41"/>
      <c r="L344" s="41"/>
      <c r="M344" s="41"/>
      <c r="N344" s="41"/>
      <c r="O344" s="44"/>
      <c r="P344" s="44"/>
      <c r="Q344" s="44"/>
      <c r="S344" s="41"/>
      <c r="T344" s="41"/>
      <c r="U344" s="41"/>
      <c r="V344" s="41"/>
      <c r="X344" s="44"/>
      <c r="Y344" s="44"/>
      <c r="Z344" s="44"/>
      <c r="AB344" s="41"/>
      <c r="AC344" s="41"/>
      <c r="AD344" s="41"/>
      <c r="AE344" s="41"/>
      <c r="AF344" s="41"/>
      <c r="AG344" s="44"/>
      <c r="AH344" s="44"/>
      <c r="AI344" s="44"/>
    </row>
    <row r="345" spans="10:35" x14ac:dyDescent="0.2">
      <c r="J345" s="41"/>
      <c r="K345" s="41"/>
      <c r="L345" s="41"/>
      <c r="M345" s="41"/>
      <c r="N345" s="41"/>
      <c r="O345" s="44"/>
      <c r="P345" s="44"/>
      <c r="Q345" s="44"/>
      <c r="S345" s="41"/>
      <c r="T345" s="41"/>
      <c r="U345" s="41"/>
      <c r="V345" s="41"/>
      <c r="X345" s="44"/>
      <c r="Y345" s="44"/>
      <c r="Z345" s="44"/>
      <c r="AB345" s="41"/>
      <c r="AC345" s="41"/>
      <c r="AD345" s="41"/>
      <c r="AE345" s="41"/>
      <c r="AF345" s="41"/>
      <c r="AG345" s="44"/>
      <c r="AH345" s="44"/>
      <c r="AI345" s="44"/>
    </row>
    <row r="346" spans="10:35" x14ac:dyDescent="0.2">
      <c r="J346" s="41"/>
      <c r="K346" s="41"/>
      <c r="L346" s="41"/>
      <c r="M346" s="41"/>
      <c r="N346" s="41"/>
      <c r="O346" s="44"/>
      <c r="P346" s="44"/>
      <c r="Q346" s="44"/>
      <c r="S346" s="41"/>
      <c r="T346" s="41"/>
      <c r="U346" s="41"/>
      <c r="V346" s="41"/>
      <c r="X346" s="44"/>
      <c r="Y346" s="44"/>
      <c r="Z346" s="44"/>
      <c r="AB346" s="41"/>
      <c r="AC346" s="41"/>
      <c r="AD346" s="41"/>
      <c r="AE346" s="41"/>
      <c r="AF346" s="41"/>
      <c r="AG346" s="44"/>
      <c r="AH346" s="44"/>
      <c r="AI346" s="44"/>
    </row>
    <row r="347" spans="10:35" x14ac:dyDescent="0.2">
      <c r="J347" s="41"/>
      <c r="K347" s="41"/>
      <c r="L347" s="41"/>
      <c r="M347" s="41"/>
      <c r="N347" s="41"/>
      <c r="O347" s="44"/>
      <c r="P347" s="44"/>
      <c r="Q347" s="44"/>
      <c r="S347" s="41"/>
      <c r="T347" s="41"/>
      <c r="U347" s="41"/>
      <c r="V347" s="41"/>
      <c r="X347" s="44"/>
      <c r="Y347" s="44"/>
      <c r="Z347" s="44"/>
      <c r="AB347" s="41"/>
      <c r="AC347" s="41"/>
      <c r="AD347" s="41"/>
      <c r="AE347" s="41"/>
      <c r="AF347" s="41"/>
      <c r="AG347" s="44"/>
      <c r="AH347" s="44"/>
      <c r="AI347" s="44"/>
    </row>
    <row r="348" spans="10:35" x14ac:dyDescent="0.2">
      <c r="J348" s="41"/>
      <c r="K348" s="41"/>
      <c r="L348" s="41"/>
      <c r="M348" s="41"/>
      <c r="N348" s="41"/>
      <c r="O348" s="44"/>
      <c r="P348" s="44"/>
      <c r="Q348" s="44"/>
      <c r="S348" s="41"/>
      <c r="T348" s="41"/>
      <c r="U348" s="41"/>
      <c r="V348" s="41"/>
      <c r="X348" s="44"/>
      <c r="Y348" s="44"/>
      <c r="Z348" s="44"/>
      <c r="AB348" s="41"/>
      <c r="AC348" s="41"/>
      <c r="AD348" s="41"/>
      <c r="AE348" s="41"/>
      <c r="AF348" s="41"/>
      <c r="AG348" s="44"/>
      <c r="AH348" s="44"/>
      <c r="AI348" s="44"/>
    </row>
    <row r="349" spans="10:35" x14ac:dyDescent="0.2">
      <c r="J349" s="41"/>
      <c r="K349" s="41"/>
      <c r="L349" s="41"/>
      <c r="M349" s="41"/>
      <c r="N349" s="41"/>
      <c r="O349" s="44"/>
      <c r="P349" s="44"/>
      <c r="Q349" s="44"/>
      <c r="S349" s="41"/>
      <c r="T349" s="41"/>
      <c r="U349" s="41"/>
      <c r="V349" s="41"/>
      <c r="X349" s="44"/>
      <c r="Y349" s="44"/>
      <c r="Z349" s="44"/>
      <c r="AB349" s="41"/>
      <c r="AC349" s="41"/>
      <c r="AD349" s="41"/>
      <c r="AE349" s="41"/>
      <c r="AF349" s="41"/>
      <c r="AG349" s="44"/>
      <c r="AH349" s="44"/>
      <c r="AI349" s="44"/>
    </row>
    <row r="350" spans="10:35" x14ac:dyDescent="0.2">
      <c r="J350" s="41"/>
      <c r="K350" s="41"/>
      <c r="L350" s="41"/>
      <c r="M350" s="41"/>
      <c r="N350" s="41"/>
      <c r="O350" s="44"/>
      <c r="P350" s="44"/>
      <c r="Q350" s="44"/>
      <c r="S350" s="41"/>
      <c r="T350" s="41"/>
      <c r="U350" s="41"/>
      <c r="V350" s="41"/>
      <c r="X350" s="44"/>
      <c r="Y350" s="44"/>
      <c r="Z350" s="44"/>
      <c r="AB350" s="41"/>
      <c r="AC350" s="41"/>
      <c r="AD350" s="41"/>
      <c r="AE350" s="41"/>
      <c r="AF350" s="41"/>
      <c r="AG350" s="44"/>
      <c r="AH350" s="44"/>
      <c r="AI350" s="44"/>
    </row>
    <row r="351" spans="10:35" x14ac:dyDescent="0.2">
      <c r="J351" s="41"/>
      <c r="K351" s="41"/>
      <c r="L351" s="41"/>
      <c r="M351" s="41"/>
      <c r="N351" s="41"/>
      <c r="O351" s="44"/>
      <c r="P351" s="44"/>
      <c r="Q351" s="44"/>
      <c r="S351" s="41"/>
      <c r="T351" s="41"/>
      <c r="U351" s="41"/>
      <c r="V351" s="41"/>
      <c r="X351" s="44"/>
      <c r="Y351" s="44"/>
      <c r="Z351" s="44"/>
      <c r="AB351" s="41"/>
      <c r="AC351" s="41"/>
      <c r="AD351" s="41"/>
      <c r="AE351" s="41"/>
      <c r="AF351" s="41"/>
      <c r="AG351" s="44"/>
      <c r="AH351" s="44"/>
      <c r="AI351" s="44"/>
    </row>
    <row r="352" spans="10:35" x14ac:dyDescent="0.2">
      <c r="J352" s="41"/>
      <c r="K352" s="41"/>
      <c r="L352" s="41"/>
      <c r="M352" s="41"/>
      <c r="N352" s="41"/>
      <c r="O352" s="44"/>
      <c r="P352" s="44"/>
      <c r="Q352" s="44"/>
      <c r="S352" s="41"/>
      <c r="T352" s="41"/>
      <c r="U352" s="41"/>
      <c r="V352" s="41"/>
      <c r="X352" s="44"/>
      <c r="Y352" s="44"/>
      <c r="Z352" s="44"/>
      <c r="AB352" s="41"/>
      <c r="AC352" s="41"/>
      <c r="AD352" s="41"/>
      <c r="AE352" s="41"/>
      <c r="AF352" s="41"/>
      <c r="AG352" s="44"/>
      <c r="AH352" s="44"/>
      <c r="AI352" s="44"/>
    </row>
    <row r="353" spans="10:35" x14ac:dyDescent="0.2">
      <c r="J353" s="41"/>
      <c r="K353" s="41"/>
      <c r="L353" s="41"/>
      <c r="M353" s="41"/>
      <c r="N353" s="41"/>
      <c r="O353" s="44"/>
      <c r="P353" s="44"/>
      <c r="Q353" s="44"/>
      <c r="S353" s="41"/>
      <c r="T353" s="41"/>
      <c r="U353" s="41"/>
      <c r="V353" s="41"/>
      <c r="X353" s="44"/>
      <c r="Y353" s="44"/>
      <c r="Z353" s="44"/>
      <c r="AB353" s="41"/>
      <c r="AC353" s="41"/>
      <c r="AD353" s="41"/>
      <c r="AE353" s="41"/>
      <c r="AF353" s="41"/>
      <c r="AG353" s="44"/>
      <c r="AH353" s="44"/>
      <c r="AI353" s="44"/>
    </row>
    <row r="354" spans="10:35" x14ac:dyDescent="0.2">
      <c r="J354" s="41"/>
      <c r="K354" s="41"/>
      <c r="L354" s="41"/>
      <c r="M354" s="41"/>
      <c r="N354" s="41"/>
      <c r="O354" s="44"/>
      <c r="P354" s="44"/>
      <c r="Q354" s="44"/>
      <c r="S354" s="41"/>
      <c r="T354" s="41"/>
      <c r="U354" s="41"/>
      <c r="V354" s="41"/>
      <c r="X354" s="44"/>
      <c r="Y354" s="44"/>
      <c r="Z354" s="44"/>
      <c r="AB354" s="41"/>
      <c r="AC354" s="41"/>
      <c r="AD354" s="41"/>
      <c r="AE354" s="41"/>
      <c r="AF354" s="41"/>
      <c r="AG354" s="44"/>
      <c r="AH354" s="44"/>
      <c r="AI354" s="44"/>
    </row>
    <row r="355" spans="10:35" x14ac:dyDescent="0.2">
      <c r="J355" s="41"/>
      <c r="K355" s="41"/>
      <c r="L355" s="41"/>
      <c r="M355" s="41"/>
      <c r="N355" s="41"/>
      <c r="O355" s="44"/>
      <c r="P355" s="44"/>
      <c r="Q355" s="44"/>
      <c r="S355" s="41"/>
      <c r="T355" s="41"/>
      <c r="U355" s="41"/>
      <c r="V355" s="41"/>
      <c r="X355" s="44"/>
      <c r="Y355" s="44"/>
      <c r="Z355" s="44"/>
      <c r="AB355" s="41"/>
      <c r="AC355" s="41"/>
      <c r="AD355" s="41"/>
      <c r="AE355" s="41"/>
      <c r="AF355" s="41"/>
      <c r="AG355" s="44"/>
      <c r="AH355" s="44"/>
      <c r="AI355" s="44"/>
    </row>
    <row r="356" spans="10:35" x14ac:dyDescent="0.2">
      <c r="J356" s="41"/>
      <c r="K356" s="41"/>
      <c r="L356" s="41"/>
      <c r="M356" s="41"/>
      <c r="N356" s="41"/>
      <c r="O356" s="44"/>
      <c r="P356" s="44"/>
      <c r="Q356" s="44"/>
      <c r="S356" s="41"/>
      <c r="T356" s="41"/>
      <c r="U356" s="41"/>
      <c r="V356" s="41"/>
      <c r="X356" s="44"/>
      <c r="Y356" s="44"/>
      <c r="Z356" s="44"/>
      <c r="AB356" s="41"/>
      <c r="AC356" s="41"/>
      <c r="AD356" s="41"/>
      <c r="AE356" s="41"/>
      <c r="AF356" s="41"/>
      <c r="AG356" s="44"/>
      <c r="AH356" s="44"/>
      <c r="AI356" s="44"/>
    </row>
    <row r="357" spans="10:35" x14ac:dyDescent="0.2">
      <c r="J357" s="41"/>
      <c r="K357" s="41"/>
      <c r="L357" s="41"/>
      <c r="M357" s="41"/>
      <c r="N357" s="41"/>
      <c r="O357" s="44"/>
      <c r="P357" s="44"/>
      <c r="Q357" s="44"/>
      <c r="S357" s="41"/>
      <c r="T357" s="41"/>
      <c r="U357" s="41"/>
      <c r="V357" s="41"/>
      <c r="X357" s="44"/>
      <c r="Y357" s="44"/>
      <c r="Z357" s="44"/>
      <c r="AB357" s="41"/>
      <c r="AC357" s="41"/>
      <c r="AD357" s="41"/>
      <c r="AE357" s="41"/>
      <c r="AF357" s="41"/>
      <c r="AG357" s="44"/>
      <c r="AH357" s="44"/>
      <c r="AI357" s="44"/>
    </row>
    <row r="358" spans="10:35" x14ac:dyDescent="0.2">
      <c r="J358" s="41"/>
      <c r="K358" s="41"/>
      <c r="L358" s="41"/>
      <c r="M358" s="41"/>
      <c r="N358" s="41"/>
      <c r="O358" s="44"/>
      <c r="P358" s="44"/>
      <c r="Q358" s="44"/>
      <c r="S358" s="41"/>
      <c r="T358" s="41"/>
      <c r="U358" s="41"/>
      <c r="V358" s="41"/>
      <c r="X358" s="44"/>
      <c r="Y358" s="44"/>
      <c r="Z358" s="44"/>
      <c r="AB358" s="41"/>
      <c r="AC358" s="41"/>
      <c r="AD358" s="41"/>
      <c r="AE358" s="41"/>
      <c r="AF358" s="41"/>
      <c r="AG358" s="44"/>
      <c r="AH358" s="44"/>
      <c r="AI358" s="44"/>
    </row>
    <row r="359" spans="10:35" x14ac:dyDescent="0.2">
      <c r="J359" s="41"/>
      <c r="K359" s="41"/>
      <c r="L359" s="41"/>
      <c r="M359" s="41"/>
      <c r="N359" s="41"/>
      <c r="O359" s="44"/>
      <c r="P359" s="44"/>
      <c r="Q359" s="44"/>
      <c r="S359" s="41"/>
      <c r="T359" s="41"/>
      <c r="U359" s="41"/>
      <c r="V359" s="41"/>
      <c r="X359" s="44"/>
      <c r="Y359" s="44"/>
      <c r="Z359" s="44"/>
      <c r="AB359" s="41"/>
      <c r="AC359" s="41"/>
      <c r="AD359" s="41"/>
      <c r="AE359" s="41"/>
      <c r="AF359" s="41"/>
      <c r="AG359" s="44"/>
      <c r="AH359" s="44"/>
      <c r="AI359" s="44"/>
    </row>
    <row r="360" spans="10:35" x14ac:dyDescent="0.2">
      <c r="J360" s="41"/>
      <c r="K360" s="41"/>
      <c r="L360" s="41"/>
      <c r="M360" s="41"/>
      <c r="N360" s="41"/>
      <c r="O360" s="44"/>
      <c r="P360" s="44"/>
      <c r="Q360" s="44"/>
      <c r="S360" s="41"/>
      <c r="T360" s="41"/>
      <c r="U360" s="41"/>
      <c r="V360" s="41"/>
      <c r="X360" s="44"/>
      <c r="Y360" s="44"/>
      <c r="Z360" s="44"/>
      <c r="AB360" s="41"/>
      <c r="AC360" s="41"/>
      <c r="AD360" s="41"/>
      <c r="AE360" s="41"/>
      <c r="AF360" s="41"/>
      <c r="AG360" s="44"/>
      <c r="AH360" s="44"/>
      <c r="AI360" s="44"/>
    </row>
    <row r="361" spans="10:35" x14ac:dyDescent="0.2">
      <c r="J361" s="41"/>
      <c r="K361" s="41"/>
      <c r="L361" s="41"/>
      <c r="M361" s="41"/>
      <c r="N361" s="41"/>
      <c r="O361" s="44"/>
      <c r="P361" s="44"/>
      <c r="Q361" s="44"/>
      <c r="S361" s="41"/>
      <c r="T361" s="41"/>
      <c r="U361" s="41"/>
      <c r="V361" s="41"/>
      <c r="X361" s="44"/>
      <c r="Y361" s="44"/>
      <c r="Z361" s="44"/>
      <c r="AB361" s="41"/>
      <c r="AC361" s="41"/>
      <c r="AD361" s="41"/>
      <c r="AE361" s="41"/>
      <c r="AF361" s="41"/>
      <c r="AG361" s="44"/>
      <c r="AH361" s="44"/>
      <c r="AI361" s="44"/>
    </row>
    <row r="362" spans="10:35" x14ac:dyDescent="0.2">
      <c r="J362" s="41"/>
      <c r="K362" s="41"/>
      <c r="L362" s="41"/>
      <c r="M362" s="41"/>
      <c r="N362" s="41"/>
      <c r="O362" s="44"/>
      <c r="P362" s="44"/>
      <c r="Q362" s="44"/>
      <c r="S362" s="41"/>
      <c r="T362" s="41"/>
      <c r="U362" s="41"/>
      <c r="V362" s="41"/>
      <c r="X362" s="44"/>
      <c r="Y362" s="44"/>
      <c r="Z362" s="44"/>
      <c r="AB362" s="41"/>
      <c r="AC362" s="41"/>
      <c r="AD362" s="41"/>
      <c r="AE362" s="41"/>
      <c r="AF362" s="41"/>
      <c r="AG362" s="44"/>
      <c r="AH362" s="44"/>
      <c r="AI362" s="44"/>
    </row>
    <row r="363" spans="10:35" x14ac:dyDescent="0.2">
      <c r="J363" s="41"/>
      <c r="K363" s="41"/>
      <c r="L363" s="41"/>
      <c r="M363" s="41"/>
      <c r="N363" s="41"/>
      <c r="O363" s="44"/>
      <c r="P363" s="44"/>
      <c r="Q363" s="44"/>
      <c r="S363" s="41"/>
      <c r="T363" s="41"/>
      <c r="U363" s="41"/>
      <c r="V363" s="41"/>
      <c r="X363" s="44"/>
      <c r="Y363" s="44"/>
      <c r="Z363" s="44"/>
      <c r="AB363" s="41"/>
      <c r="AC363" s="41"/>
      <c r="AD363" s="41"/>
      <c r="AE363" s="41"/>
      <c r="AF363" s="41"/>
      <c r="AG363" s="44"/>
      <c r="AH363" s="44"/>
      <c r="AI363" s="44"/>
    </row>
    <row r="364" spans="10:35" x14ac:dyDescent="0.2">
      <c r="J364" s="41"/>
      <c r="K364" s="41"/>
      <c r="L364" s="41"/>
      <c r="M364" s="41"/>
      <c r="N364" s="41"/>
      <c r="O364" s="44"/>
      <c r="P364" s="44"/>
      <c r="Q364" s="44"/>
      <c r="S364" s="41"/>
      <c r="T364" s="41"/>
      <c r="U364" s="41"/>
      <c r="V364" s="41"/>
      <c r="X364" s="44"/>
      <c r="Y364" s="44"/>
      <c r="Z364" s="44"/>
      <c r="AB364" s="41"/>
      <c r="AC364" s="41"/>
      <c r="AD364" s="41"/>
      <c r="AE364" s="41"/>
      <c r="AF364" s="41"/>
      <c r="AG364" s="44"/>
      <c r="AH364" s="44"/>
      <c r="AI364" s="44"/>
    </row>
    <row r="365" spans="10:35" x14ac:dyDescent="0.2">
      <c r="J365" s="41"/>
      <c r="K365" s="41"/>
      <c r="L365" s="41"/>
      <c r="M365" s="41"/>
      <c r="N365" s="41"/>
      <c r="O365" s="44"/>
      <c r="P365" s="44"/>
      <c r="Q365" s="44"/>
      <c r="S365" s="41"/>
      <c r="T365" s="41"/>
      <c r="U365" s="41"/>
      <c r="V365" s="41"/>
      <c r="X365" s="44"/>
      <c r="Y365" s="44"/>
      <c r="Z365" s="44"/>
      <c r="AB365" s="41"/>
      <c r="AC365" s="41"/>
      <c r="AD365" s="41"/>
      <c r="AE365" s="41"/>
      <c r="AF365" s="41"/>
      <c r="AG365" s="44"/>
      <c r="AH365" s="44"/>
      <c r="AI365" s="44"/>
    </row>
    <row r="366" spans="10:35" x14ac:dyDescent="0.2">
      <c r="J366" s="41"/>
      <c r="K366" s="41"/>
      <c r="L366" s="41"/>
      <c r="M366" s="41"/>
      <c r="N366" s="41"/>
      <c r="O366" s="44"/>
      <c r="P366" s="44"/>
      <c r="Q366" s="44"/>
      <c r="S366" s="41"/>
      <c r="T366" s="41"/>
      <c r="U366" s="41"/>
      <c r="V366" s="41"/>
      <c r="X366" s="44"/>
      <c r="Y366" s="44"/>
      <c r="Z366" s="44"/>
      <c r="AB366" s="41"/>
      <c r="AC366" s="41"/>
      <c r="AD366" s="41"/>
      <c r="AE366" s="41"/>
      <c r="AF366" s="41"/>
      <c r="AG366" s="44"/>
      <c r="AH366" s="44"/>
      <c r="AI366" s="44"/>
    </row>
    <row r="367" spans="10:35" x14ac:dyDescent="0.2">
      <c r="J367" s="41"/>
      <c r="K367" s="41"/>
      <c r="L367" s="41"/>
      <c r="M367" s="41"/>
      <c r="N367" s="41"/>
      <c r="O367" s="44"/>
      <c r="P367" s="44"/>
      <c r="Q367" s="44"/>
      <c r="S367" s="41"/>
      <c r="T367" s="41"/>
      <c r="U367" s="41"/>
      <c r="V367" s="41"/>
      <c r="X367" s="44"/>
      <c r="Y367" s="44"/>
      <c r="Z367" s="44"/>
      <c r="AB367" s="41"/>
      <c r="AC367" s="41"/>
      <c r="AD367" s="41"/>
      <c r="AE367" s="41"/>
      <c r="AF367" s="41"/>
      <c r="AG367" s="44"/>
      <c r="AH367" s="44"/>
      <c r="AI367" s="44"/>
    </row>
    <row r="368" spans="10:35" x14ac:dyDescent="0.2">
      <c r="J368" s="41"/>
      <c r="K368" s="41"/>
      <c r="L368" s="41"/>
      <c r="M368" s="41"/>
      <c r="N368" s="41"/>
      <c r="O368" s="44"/>
      <c r="P368" s="44"/>
      <c r="Q368" s="44"/>
      <c r="S368" s="41"/>
      <c r="T368" s="41"/>
      <c r="U368" s="41"/>
      <c r="V368" s="41"/>
      <c r="X368" s="44"/>
      <c r="Y368" s="44"/>
      <c r="Z368" s="44"/>
      <c r="AB368" s="41"/>
      <c r="AC368" s="41"/>
      <c r="AD368" s="41"/>
      <c r="AE368" s="41"/>
      <c r="AF368" s="41"/>
      <c r="AG368" s="44"/>
      <c r="AH368" s="44"/>
      <c r="AI368" s="44"/>
    </row>
    <row r="369" spans="10:35" x14ac:dyDescent="0.2">
      <c r="J369" s="41"/>
      <c r="K369" s="41"/>
      <c r="L369" s="41"/>
      <c r="M369" s="41"/>
      <c r="N369" s="41"/>
      <c r="O369" s="44"/>
      <c r="P369" s="44"/>
      <c r="Q369" s="44"/>
      <c r="S369" s="41"/>
      <c r="T369" s="41"/>
      <c r="U369" s="41"/>
      <c r="V369" s="41"/>
      <c r="X369" s="44"/>
      <c r="Y369" s="44"/>
      <c r="Z369" s="44"/>
      <c r="AB369" s="41"/>
      <c r="AC369" s="41"/>
      <c r="AD369" s="41"/>
      <c r="AE369" s="41"/>
      <c r="AF369" s="41"/>
      <c r="AG369" s="44"/>
      <c r="AH369" s="44"/>
      <c r="AI369" s="44"/>
    </row>
    <row r="370" spans="10:35" x14ac:dyDescent="0.2">
      <c r="J370" s="41"/>
      <c r="K370" s="41"/>
      <c r="L370" s="41"/>
      <c r="M370" s="41"/>
      <c r="N370" s="41"/>
      <c r="O370" s="44"/>
      <c r="P370" s="44"/>
      <c r="Q370" s="44"/>
      <c r="S370" s="41"/>
      <c r="T370" s="41"/>
      <c r="U370" s="41"/>
      <c r="V370" s="41"/>
      <c r="X370" s="44"/>
      <c r="Y370" s="44"/>
      <c r="Z370" s="44"/>
      <c r="AB370" s="41"/>
      <c r="AC370" s="41"/>
      <c r="AD370" s="41"/>
      <c r="AE370" s="41"/>
      <c r="AF370" s="41"/>
      <c r="AG370" s="44"/>
      <c r="AH370" s="44"/>
      <c r="AI370" s="44"/>
    </row>
    <row r="371" spans="10:35" x14ac:dyDescent="0.2">
      <c r="J371" s="41"/>
      <c r="K371" s="41"/>
      <c r="L371" s="41"/>
      <c r="M371" s="41"/>
      <c r="N371" s="41"/>
      <c r="O371" s="44"/>
      <c r="P371" s="44"/>
      <c r="Q371" s="44"/>
      <c r="S371" s="41"/>
      <c r="T371" s="41"/>
      <c r="U371" s="41"/>
      <c r="V371" s="41"/>
      <c r="X371" s="44"/>
      <c r="Y371" s="44"/>
      <c r="Z371" s="44"/>
      <c r="AB371" s="41"/>
      <c r="AC371" s="41"/>
      <c r="AD371" s="41"/>
      <c r="AE371" s="41"/>
      <c r="AF371" s="41"/>
      <c r="AG371" s="44"/>
      <c r="AH371" s="44"/>
      <c r="AI371" s="44"/>
    </row>
    <row r="372" spans="10:35" x14ac:dyDescent="0.2">
      <c r="J372" s="41"/>
      <c r="K372" s="41"/>
      <c r="L372" s="41"/>
      <c r="M372" s="41"/>
      <c r="N372" s="41"/>
      <c r="O372" s="44"/>
      <c r="P372" s="44"/>
      <c r="Q372" s="44"/>
      <c r="S372" s="41"/>
      <c r="T372" s="41"/>
      <c r="U372" s="41"/>
      <c r="V372" s="41"/>
      <c r="X372" s="44"/>
      <c r="Y372" s="44"/>
      <c r="Z372" s="44"/>
      <c r="AB372" s="41"/>
      <c r="AC372" s="41"/>
      <c r="AD372" s="41"/>
      <c r="AE372" s="41"/>
      <c r="AF372" s="41"/>
      <c r="AG372" s="44"/>
      <c r="AH372" s="44"/>
      <c r="AI372" s="44"/>
    </row>
    <row r="373" spans="10:35" x14ac:dyDescent="0.2">
      <c r="J373" s="41"/>
      <c r="K373" s="41"/>
      <c r="L373" s="41"/>
      <c r="M373" s="41"/>
      <c r="N373" s="41"/>
      <c r="O373" s="44"/>
      <c r="P373" s="44"/>
      <c r="Q373" s="44"/>
      <c r="S373" s="41"/>
      <c r="T373" s="41"/>
      <c r="U373" s="41"/>
      <c r="V373" s="41"/>
      <c r="X373" s="44"/>
      <c r="Y373" s="44"/>
      <c r="Z373" s="44"/>
      <c r="AB373" s="41"/>
      <c r="AC373" s="41"/>
      <c r="AD373" s="41"/>
      <c r="AE373" s="41"/>
      <c r="AF373" s="41"/>
      <c r="AG373" s="44"/>
      <c r="AH373" s="44"/>
      <c r="AI373" s="44"/>
    </row>
    <row r="374" spans="10:35" x14ac:dyDescent="0.2">
      <c r="J374" s="41"/>
      <c r="K374" s="41"/>
      <c r="L374" s="41"/>
      <c r="M374" s="41"/>
      <c r="N374" s="41"/>
      <c r="O374" s="44"/>
      <c r="P374" s="44"/>
      <c r="Q374" s="44"/>
      <c r="S374" s="41"/>
      <c r="T374" s="41"/>
      <c r="U374" s="41"/>
      <c r="V374" s="41"/>
      <c r="X374" s="44"/>
      <c r="Y374" s="44"/>
      <c r="Z374" s="44"/>
      <c r="AB374" s="41"/>
      <c r="AC374" s="41"/>
      <c r="AD374" s="41"/>
      <c r="AE374" s="41"/>
      <c r="AF374" s="41"/>
      <c r="AG374" s="44"/>
      <c r="AH374" s="44"/>
      <c r="AI374" s="44"/>
    </row>
    <row r="375" spans="10:35" x14ac:dyDescent="0.2">
      <c r="J375" s="41"/>
      <c r="K375" s="41"/>
      <c r="L375" s="41"/>
      <c r="M375" s="41"/>
      <c r="N375" s="41"/>
      <c r="O375" s="44"/>
      <c r="P375" s="44"/>
      <c r="Q375" s="44"/>
      <c r="S375" s="41"/>
      <c r="T375" s="41"/>
      <c r="U375" s="41"/>
      <c r="V375" s="41"/>
      <c r="X375" s="44"/>
      <c r="Y375" s="44"/>
      <c r="Z375" s="44"/>
      <c r="AB375" s="41"/>
      <c r="AC375" s="41"/>
      <c r="AD375" s="41"/>
      <c r="AE375" s="41"/>
      <c r="AF375" s="41"/>
      <c r="AG375" s="44"/>
      <c r="AH375" s="44"/>
      <c r="AI375" s="44"/>
    </row>
    <row r="376" spans="10:35" x14ac:dyDescent="0.2">
      <c r="J376" s="41"/>
      <c r="K376" s="41"/>
      <c r="L376" s="41"/>
      <c r="M376" s="41"/>
      <c r="N376" s="41"/>
      <c r="O376" s="44"/>
      <c r="P376" s="44"/>
      <c r="Q376" s="44"/>
      <c r="S376" s="41"/>
      <c r="T376" s="41"/>
      <c r="U376" s="41"/>
      <c r="V376" s="41"/>
      <c r="X376" s="44"/>
      <c r="Y376" s="44"/>
      <c r="Z376" s="44"/>
      <c r="AB376" s="41"/>
      <c r="AC376" s="41"/>
      <c r="AD376" s="41"/>
      <c r="AE376" s="41"/>
      <c r="AF376" s="41"/>
      <c r="AG376" s="44"/>
      <c r="AH376" s="44"/>
      <c r="AI376" s="44"/>
    </row>
    <row r="377" spans="10:35" x14ac:dyDescent="0.2">
      <c r="J377" s="41"/>
      <c r="K377" s="41"/>
      <c r="L377" s="41"/>
      <c r="M377" s="41"/>
      <c r="N377" s="41"/>
      <c r="O377" s="44"/>
      <c r="P377" s="44"/>
      <c r="Q377" s="44"/>
      <c r="S377" s="41"/>
      <c r="T377" s="41"/>
      <c r="U377" s="41"/>
      <c r="V377" s="41"/>
      <c r="X377" s="44"/>
      <c r="Y377" s="44"/>
      <c r="Z377" s="44"/>
      <c r="AB377" s="41"/>
      <c r="AC377" s="41"/>
      <c r="AD377" s="41"/>
      <c r="AE377" s="41"/>
      <c r="AF377" s="41"/>
      <c r="AG377" s="44"/>
      <c r="AH377" s="44"/>
      <c r="AI377" s="44"/>
    </row>
    <row r="378" spans="10:35" x14ac:dyDescent="0.2">
      <c r="J378" s="41"/>
      <c r="K378" s="41"/>
      <c r="L378" s="41"/>
      <c r="M378" s="41"/>
      <c r="N378" s="41"/>
      <c r="O378" s="44"/>
      <c r="P378" s="44"/>
      <c r="Q378" s="44"/>
      <c r="S378" s="41"/>
      <c r="T378" s="41"/>
      <c r="U378" s="41"/>
      <c r="V378" s="41"/>
      <c r="X378" s="44"/>
      <c r="Y378" s="44"/>
      <c r="Z378" s="44"/>
      <c r="AB378" s="41"/>
      <c r="AC378" s="41"/>
      <c r="AD378" s="41"/>
      <c r="AE378" s="41"/>
      <c r="AF378" s="41"/>
      <c r="AG378" s="44"/>
      <c r="AH378" s="44"/>
      <c r="AI378" s="44"/>
    </row>
    <row r="379" spans="10:35" x14ac:dyDescent="0.2">
      <c r="J379" s="41"/>
      <c r="K379" s="41"/>
      <c r="L379" s="41"/>
      <c r="M379" s="41"/>
      <c r="N379" s="41"/>
      <c r="O379" s="44"/>
      <c r="P379" s="44"/>
      <c r="Q379" s="44"/>
      <c r="S379" s="41"/>
      <c r="T379" s="41"/>
      <c r="U379" s="41"/>
      <c r="V379" s="41"/>
      <c r="X379" s="44"/>
      <c r="Y379" s="44"/>
      <c r="Z379" s="44"/>
      <c r="AB379" s="41"/>
      <c r="AC379" s="41"/>
      <c r="AD379" s="41"/>
      <c r="AE379" s="41"/>
      <c r="AF379" s="41"/>
      <c r="AG379" s="44"/>
      <c r="AH379" s="44"/>
      <c r="AI379" s="44"/>
    </row>
    <row r="380" spans="10:35" x14ac:dyDescent="0.2">
      <c r="J380" s="41"/>
      <c r="K380" s="41"/>
      <c r="L380" s="41"/>
      <c r="M380" s="41"/>
      <c r="N380" s="41"/>
      <c r="O380" s="44"/>
      <c r="P380" s="44"/>
      <c r="Q380" s="44"/>
      <c r="S380" s="41"/>
      <c r="T380" s="41"/>
      <c r="U380" s="41"/>
      <c r="V380" s="41"/>
      <c r="X380" s="44"/>
      <c r="Y380" s="44"/>
      <c r="Z380" s="44"/>
      <c r="AB380" s="41"/>
      <c r="AC380" s="41"/>
      <c r="AD380" s="41"/>
      <c r="AE380" s="41"/>
      <c r="AF380" s="41"/>
      <c r="AG380" s="44"/>
      <c r="AH380" s="44"/>
      <c r="AI380" s="44"/>
    </row>
    <row r="381" spans="10:35" x14ac:dyDescent="0.2">
      <c r="J381" s="41"/>
      <c r="K381" s="41"/>
      <c r="L381" s="41"/>
      <c r="M381" s="41"/>
      <c r="N381" s="41"/>
      <c r="O381" s="44"/>
      <c r="P381" s="44"/>
      <c r="Q381" s="44"/>
      <c r="S381" s="41"/>
      <c r="T381" s="41"/>
      <c r="U381" s="41"/>
      <c r="V381" s="41"/>
      <c r="X381" s="44"/>
      <c r="Y381" s="44"/>
      <c r="Z381" s="44"/>
      <c r="AB381" s="41"/>
      <c r="AC381" s="41"/>
      <c r="AD381" s="41"/>
      <c r="AE381" s="41"/>
      <c r="AF381" s="41"/>
      <c r="AG381" s="44"/>
      <c r="AH381" s="44"/>
      <c r="AI381" s="44"/>
    </row>
    <row r="382" spans="10:35" x14ac:dyDescent="0.2">
      <c r="J382" s="41"/>
      <c r="K382" s="41"/>
      <c r="L382" s="41"/>
      <c r="M382" s="41"/>
      <c r="N382" s="41"/>
      <c r="O382" s="44"/>
      <c r="P382" s="44"/>
      <c r="Q382" s="44"/>
      <c r="S382" s="41"/>
      <c r="T382" s="41"/>
      <c r="U382" s="41"/>
      <c r="V382" s="41"/>
      <c r="X382" s="44"/>
      <c r="Y382" s="44"/>
      <c r="Z382" s="44"/>
      <c r="AB382" s="41"/>
      <c r="AC382" s="41"/>
      <c r="AD382" s="41"/>
      <c r="AE382" s="41"/>
      <c r="AF382" s="41"/>
      <c r="AG382" s="44"/>
      <c r="AH382" s="44"/>
      <c r="AI382" s="44"/>
    </row>
    <row r="383" spans="10:35" x14ac:dyDescent="0.2">
      <c r="J383" s="41"/>
      <c r="K383" s="41"/>
      <c r="L383" s="41"/>
      <c r="M383" s="41"/>
      <c r="N383" s="41"/>
      <c r="O383" s="44"/>
      <c r="P383" s="44"/>
      <c r="Q383" s="44"/>
      <c r="S383" s="41"/>
      <c r="T383" s="41"/>
      <c r="U383" s="41"/>
      <c r="V383" s="41"/>
      <c r="X383" s="44"/>
      <c r="Y383" s="44"/>
      <c r="Z383" s="44"/>
      <c r="AB383" s="41"/>
      <c r="AC383" s="41"/>
      <c r="AD383" s="41"/>
      <c r="AE383" s="41"/>
      <c r="AF383" s="41"/>
      <c r="AG383" s="44"/>
      <c r="AH383" s="44"/>
      <c r="AI383" s="44"/>
    </row>
    <row r="384" spans="10:35" x14ac:dyDescent="0.2">
      <c r="J384" s="41"/>
      <c r="K384" s="41"/>
      <c r="L384" s="41"/>
      <c r="M384" s="41"/>
      <c r="N384" s="41"/>
      <c r="O384" s="44"/>
      <c r="P384" s="44"/>
      <c r="Q384" s="44"/>
      <c r="S384" s="41"/>
      <c r="T384" s="41"/>
      <c r="U384" s="41"/>
      <c r="V384" s="41"/>
      <c r="X384" s="44"/>
      <c r="Y384" s="44"/>
      <c r="Z384" s="44"/>
      <c r="AB384" s="41"/>
      <c r="AC384" s="41"/>
      <c r="AD384" s="41"/>
      <c r="AE384" s="41"/>
      <c r="AF384" s="41"/>
      <c r="AG384" s="44"/>
      <c r="AH384" s="44"/>
      <c r="AI384" s="44"/>
    </row>
    <row r="385" spans="10:35" x14ac:dyDescent="0.2">
      <c r="J385" s="41"/>
      <c r="K385" s="41"/>
      <c r="L385" s="41"/>
      <c r="M385" s="41"/>
      <c r="N385" s="41"/>
      <c r="O385" s="44"/>
      <c r="P385" s="44"/>
      <c r="Q385" s="44"/>
      <c r="S385" s="41"/>
      <c r="T385" s="41"/>
      <c r="U385" s="41"/>
      <c r="V385" s="41"/>
      <c r="X385" s="44"/>
      <c r="Y385" s="44"/>
      <c r="Z385" s="44"/>
      <c r="AB385" s="41"/>
      <c r="AC385" s="41"/>
      <c r="AD385" s="41"/>
      <c r="AE385" s="41"/>
      <c r="AF385" s="41"/>
      <c r="AG385" s="44"/>
      <c r="AH385" s="44"/>
      <c r="AI385" s="44"/>
    </row>
    <row r="386" spans="10:35" x14ac:dyDescent="0.2">
      <c r="J386" s="41"/>
      <c r="K386" s="41"/>
      <c r="L386" s="41"/>
      <c r="M386" s="41"/>
      <c r="N386" s="41"/>
      <c r="O386" s="44"/>
      <c r="P386" s="44"/>
      <c r="Q386" s="44"/>
      <c r="S386" s="41"/>
      <c r="T386" s="41"/>
      <c r="U386" s="41"/>
      <c r="V386" s="41"/>
      <c r="X386" s="44"/>
      <c r="Y386" s="44"/>
      <c r="Z386" s="44"/>
      <c r="AB386" s="41"/>
      <c r="AC386" s="41"/>
      <c r="AD386" s="41"/>
      <c r="AE386" s="41"/>
      <c r="AF386" s="41"/>
      <c r="AG386" s="44"/>
      <c r="AH386" s="44"/>
      <c r="AI386" s="44"/>
    </row>
    <row r="387" spans="10:35" x14ac:dyDescent="0.2">
      <c r="J387" s="41"/>
      <c r="K387" s="41"/>
      <c r="L387" s="41"/>
      <c r="M387" s="41"/>
      <c r="N387" s="41"/>
      <c r="O387" s="44"/>
      <c r="P387" s="44"/>
      <c r="Q387" s="44"/>
      <c r="S387" s="41"/>
      <c r="T387" s="41"/>
      <c r="U387" s="41"/>
      <c r="V387" s="41"/>
      <c r="X387" s="44"/>
      <c r="Y387" s="44"/>
      <c r="Z387" s="44"/>
      <c r="AB387" s="41"/>
      <c r="AC387" s="41"/>
      <c r="AD387" s="41"/>
      <c r="AE387" s="41"/>
      <c r="AF387" s="41"/>
      <c r="AG387" s="44"/>
      <c r="AH387" s="44"/>
      <c r="AI387" s="44"/>
    </row>
    <row r="388" spans="10:35" x14ac:dyDescent="0.2">
      <c r="J388" s="41"/>
      <c r="K388" s="41"/>
      <c r="L388" s="41"/>
      <c r="M388" s="41"/>
      <c r="N388" s="41"/>
      <c r="O388" s="44"/>
      <c r="P388" s="44"/>
      <c r="Q388" s="44"/>
      <c r="S388" s="41"/>
      <c r="T388" s="41"/>
      <c r="U388" s="41"/>
      <c r="V388" s="41"/>
      <c r="X388" s="44"/>
      <c r="Y388" s="44"/>
      <c r="Z388" s="44"/>
      <c r="AB388" s="41"/>
      <c r="AC388" s="41"/>
      <c r="AD388" s="41"/>
      <c r="AE388" s="41"/>
      <c r="AF388" s="41"/>
      <c r="AG388" s="44"/>
      <c r="AH388" s="44"/>
      <c r="AI388" s="44"/>
    </row>
    <row r="389" spans="10:35" x14ac:dyDescent="0.2">
      <c r="J389" s="41"/>
      <c r="K389" s="41"/>
      <c r="L389" s="41"/>
      <c r="M389" s="41"/>
      <c r="N389" s="41"/>
      <c r="O389" s="44"/>
      <c r="P389" s="44"/>
      <c r="Q389" s="44"/>
      <c r="S389" s="41"/>
      <c r="T389" s="41"/>
      <c r="U389" s="41"/>
      <c r="V389" s="41"/>
      <c r="X389" s="44"/>
      <c r="Y389" s="44"/>
      <c r="Z389" s="44"/>
      <c r="AB389" s="41"/>
      <c r="AC389" s="41"/>
      <c r="AD389" s="41"/>
      <c r="AE389" s="41"/>
      <c r="AF389" s="41"/>
      <c r="AG389" s="44"/>
      <c r="AH389" s="44"/>
      <c r="AI389" s="44"/>
    </row>
    <row r="390" spans="10:35" x14ac:dyDescent="0.2">
      <c r="J390" s="41"/>
      <c r="K390" s="41"/>
      <c r="L390" s="41"/>
      <c r="M390" s="41"/>
      <c r="N390" s="41"/>
      <c r="O390" s="44"/>
      <c r="P390" s="44"/>
      <c r="Q390" s="44"/>
      <c r="S390" s="41"/>
      <c r="T390" s="41"/>
      <c r="U390" s="41"/>
      <c r="V390" s="41"/>
      <c r="X390" s="44"/>
      <c r="Y390" s="44"/>
      <c r="Z390" s="44"/>
      <c r="AB390" s="41"/>
      <c r="AC390" s="41"/>
      <c r="AD390" s="41"/>
      <c r="AE390" s="41"/>
      <c r="AF390" s="41"/>
      <c r="AG390" s="44"/>
      <c r="AH390" s="44"/>
      <c r="AI390" s="44"/>
    </row>
    <row r="391" spans="10:35" x14ac:dyDescent="0.2">
      <c r="J391" s="41"/>
      <c r="K391" s="41"/>
      <c r="L391" s="41"/>
      <c r="M391" s="41"/>
      <c r="N391" s="41"/>
      <c r="O391" s="44"/>
      <c r="P391" s="44"/>
      <c r="Q391" s="44"/>
      <c r="S391" s="41"/>
      <c r="T391" s="41"/>
      <c r="U391" s="41"/>
      <c r="V391" s="41"/>
      <c r="X391" s="44"/>
      <c r="Y391" s="44"/>
      <c r="Z391" s="44"/>
      <c r="AB391" s="41"/>
      <c r="AC391" s="41"/>
      <c r="AD391" s="41"/>
      <c r="AE391" s="41"/>
      <c r="AF391" s="41"/>
      <c r="AG391" s="44"/>
      <c r="AH391" s="44"/>
      <c r="AI391" s="44"/>
    </row>
    <row r="392" spans="10:35" x14ac:dyDescent="0.2">
      <c r="J392" s="41"/>
      <c r="K392" s="41"/>
      <c r="L392" s="41"/>
      <c r="M392" s="41"/>
      <c r="N392" s="41"/>
      <c r="O392" s="44"/>
      <c r="P392" s="44"/>
      <c r="Q392" s="44"/>
      <c r="S392" s="41"/>
      <c r="T392" s="41"/>
      <c r="U392" s="41"/>
      <c r="V392" s="41"/>
      <c r="X392" s="44"/>
      <c r="Y392" s="44"/>
      <c r="Z392" s="44"/>
      <c r="AB392" s="41"/>
      <c r="AC392" s="41"/>
      <c r="AD392" s="41"/>
      <c r="AE392" s="41"/>
      <c r="AF392" s="41"/>
      <c r="AG392" s="44"/>
      <c r="AH392" s="44"/>
      <c r="AI392" s="44"/>
    </row>
    <row r="393" spans="10:35" x14ac:dyDescent="0.2">
      <c r="J393" s="41"/>
      <c r="K393" s="41"/>
      <c r="L393" s="41"/>
      <c r="M393" s="41"/>
      <c r="N393" s="41"/>
      <c r="O393" s="44"/>
      <c r="P393" s="44"/>
      <c r="Q393" s="44"/>
      <c r="S393" s="41"/>
      <c r="T393" s="41"/>
      <c r="U393" s="41"/>
      <c r="V393" s="41"/>
      <c r="X393" s="44"/>
      <c r="Y393" s="44"/>
      <c r="Z393" s="44"/>
      <c r="AB393" s="41"/>
      <c r="AC393" s="41"/>
      <c r="AD393" s="41"/>
      <c r="AE393" s="41"/>
      <c r="AF393" s="41"/>
      <c r="AG393" s="44"/>
      <c r="AH393" s="44"/>
      <c r="AI393" s="44"/>
    </row>
    <row r="394" spans="10:35" x14ac:dyDescent="0.2">
      <c r="J394" s="41"/>
      <c r="K394" s="41"/>
      <c r="L394" s="41"/>
      <c r="M394" s="41"/>
      <c r="N394" s="41"/>
      <c r="O394" s="44"/>
      <c r="P394" s="44"/>
      <c r="Q394" s="44"/>
      <c r="S394" s="41"/>
      <c r="T394" s="41"/>
      <c r="U394" s="41"/>
      <c r="V394" s="41"/>
      <c r="X394" s="44"/>
      <c r="Y394" s="44"/>
      <c r="Z394" s="44"/>
      <c r="AB394" s="41"/>
      <c r="AC394" s="41"/>
      <c r="AD394" s="41"/>
      <c r="AE394" s="41"/>
      <c r="AF394" s="41"/>
      <c r="AG394" s="44"/>
      <c r="AH394" s="44"/>
      <c r="AI394" s="44"/>
    </row>
    <row r="395" spans="10:35" x14ac:dyDescent="0.2">
      <c r="J395" s="41"/>
      <c r="K395" s="41"/>
      <c r="L395" s="41"/>
      <c r="M395" s="41"/>
      <c r="N395" s="41"/>
      <c r="O395" s="44"/>
      <c r="P395" s="44"/>
      <c r="Q395" s="44"/>
      <c r="S395" s="41"/>
      <c r="T395" s="41"/>
      <c r="U395" s="41"/>
      <c r="V395" s="41"/>
      <c r="X395" s="44"/>
      <c r="Y395" s="44"/>
      <c r="Z395" s="44"/>
      <c r="AB395" s="41"/>
      <c r="AC395" s="41"/>
      <c r="AD395" s="41"/>
      <c r="AE395" s="41"/>
      <c r="AF395" s="41"/>
      <c r="AG395" s="44"/>
      <c r="AH395" s="44"/>
      <c r="AI395" s="44"/>
    </row>
    <row r="396" spans="10:35" x14ac:dyDescent="0.2">
      <c r="J396" s="41"/>
      <c r="K396" s="41"/>
      <c r="L396" s="41"/>
      <c r="M396" s="41"/>
      <c r="N396" s="41"/>
      <c r="O396" s="44"/>
      <c r="P396" s="44"/>
      <c r="Q396" s="44"/>
      <c r="S396" s="41"/>
      <c r="T396" s="41"/>
      <c r="U396" s="41"/>
      <c r="V396" s="41"/>
      <c r="X396" s="44"/>
      <c r="Y396" s="44"/>
      <c r="Z396" s="44"/>
      <c r="AB396" s="41"/>
      <c r="AC396" s="41"/>
      <c r="AD396" s="41"/>
      <c r="AE396" s="41"/>
      <c r="AF396" s="41"/>
      <c r="AG396" s="44"/>
      <c r="AH396" s="44"/>
      <c r="AI396" s="44"/>
    </row>
    <row r="397" spans="10:35" x14ac:dyDescent="0.2">
      <c r="J397" s="41"/>
      <c r="K397" s="41"/>
      <c r="L397" s="41"/>
      <c r="M397" s="41"/>
      <c r="N397" s="41"/>
      <c r="O397" s="44"/>
      <c r="P397" s="44"/>
      <c r="Q397" s="44"/>
      <c r="S397" s="41"/>
      <c r="T397" s="41"/>
      <c r="U397" s="41"/>
      <c r="V397" s="41"/>
      <c r="X397" s="44"/>
      <c r="Y397" s="44"/>
      <c r="Z397" s="44"/>
      <c r="AB397" s="41"/>
      <c r="AC397" s="41"/>
      <c r="AD397" s="41"/>
      <c r="AE397" s="41"/>
      <c r="AF397" s="41"/>
      <c r="AG397" s="44"/>
      <c r="AH397" s="44"/>
      <c r="AI397" s="44"/>
    </row>
    <row r="398" spans="10:35" x14ac:dyDescent="0.2">
      <c r="J398" s="41"/>
      <c r="K398" s="41"/>
      <c r="L398" s="41"/>
      <c r="M398" s="41"/>
      <c r="N398" s="41"/>
      <c r="O398" s="44"/>
      <c r="P398" s="44"/>
      <c r="Q398" s="44"/>
      <c r="S398" s="41"/>
      <c r="T398" s="41"/>
      <c r="U398" s="41"/>
      <c r="V398" s="41"/>
      <c r="X398" s="44"/>
      <c r="Y398" s="44"/>
      <c r="Z398" s="44"/>
      <c r="AB398" s="41"/>
      <c r="AC398" s="41"/>
      <c r="AD398" s="41"/>
      <c r="AE398" s="41"/>
      <c r="AF398" s="41"/>
      <c r="AG398" s="44"/>
      <c r="AH398" s="44"/>
      <c r="AI398" s="44"/>
    </row>
    <row r="399" spans="10:35" x14ac:dyDescent="0.2">
      <c r="J399" s="41"/>
      <c r="K399" s="41"/>
      <c r="L399" s="41"/>
      <c r="M399" s="41"/>
      <c r="N399" s="41"/>
      <c r="O399" s="44"/>
      <c r="P399" s="44"/>
      <c r="Q399" s="44"/>
      <c r="S399" s="41"/>
      <c r="T399" s="41"/>
      <c r="U399" s="41"/>
      <c r="V399" s="41"/>
      <c r="X399" s="44"/>
      <c r="Y399" s="44"/>
      <c r="Z399" s="44"/>
      <c r="AB399" s="41"/>
      <c r="AC399" s="41"/>
      <c r="AD399" s="41"/>
      <c r="AE399" s="41"/>
      <c r="AF399" s="41"/>
      <c r="AG399" s="44"/>
      <c r="AH399" s="44"/>
      <c r="AI399" s="44"/>
    </row>
    <row r="400" spans="10:35" x14ac:dyDescent="0.2">
      <c r="J400" s="41"/>
      <c r="K400" s="41"/>
      <c r="L400" s="41"/>
      <c r="M400" s="41"/>
      <c r="N400" s="41"/>
      <c r="O400" s="44"/>
      <c r="P400" s="44"/>
      <c r="Q400" s="44"/>
      <c r="S400" s="41"/>
      <c r="T400" s="41"/>
      <c r="U400" s="41"/>
      <c r="V400" s="41"/>
      <c r="X400" s="44"/>
      <c r="Y400" s="44"/>
      <c r="Z400" s="44"/>
      <c r="AB400" s="41"/>
      <c r="AC400" s="41"/>
      <c r="AD400" s="41"/>
      <c r="AE400" s="41"/>
      <c r="AF400" s="41"/>
      <c r="AG400" s="44"/>
      <c r="AH400" s="44"/>
      <c r="AI400" s="44"/>
    </row>
    <row r="401" spans="10:35" x14ac:dyDescent="0.2">
      <c r="J401" s="41"/>
      <c r="K401" s="41"/>
      <c r="L401" s="41"/>
      <c r="M401" s="41"/>
      <c r="N401" s="41"/>
      <c r="O401" s="44"/>
      <c r="P401" s="44"/>
      <c r="Q401" s="44"/>
      <c r="S401" s="41"/>
      <c r="T401" s="41"/>
      <c r="U401" s="41"/>
      <c r="V401" s="41"/>
      <c r="X401" s="44"/>
      <c r="Y401" s="44"/>
      <c r="Z401" s="44"/>
      <c r="AB401" s="41"/>
      <c r="AC401" s="41"/>
      <c r="AD401" s="41"/>
      <c r="AE401" s="41"/>
      <c r="AF401" s="41"/>
      <c r="AG401" s="44"/>
      <c r="AH401" s="44"/>
      <c r="AI401" s="44"/>
    </row>
    <row r="402" spans="10:35" x14ac:dyDescent="0.2">
      <c r="J402" s="41"/>
      <c r="K402" s="41"/>
      <c r="L402" s="41"/>
      <c r="M402" s="41"/>
      <c r="N402" s="41"/>
      <c r="O402" s="44"/>
      <c r="P402" s="44"/>
      <c r="Q402" s="44"/>
      <c r="S402" s="41"/>
      <c r="T402" s="41"/>
      <c r="U402" s="41"/>
      <c r="V402" s="41"/>
      <c r="X402" s="44"/>
      <c r="Y402" s="44"/>
      <c r="Z402" s="44"/>
      <c r="AB402" s="41"/>
      <c r="AC402" s="41"/>
      <c r="AD402" s="41"/>
      <c r="AE402" s="41"/>
      <c r="AF402" s="41"/>
      <c r="AG402" s="44"/>
      <c r="AH402" s="44"/>
      <c r="AI402" s="44"/>
    </row>
    <row r="403" spans="10:35" x14ac:dyDescent="0.2">
      <c r="J403" s="41"/>
      <c r="K403" s="41"/>
      <c r="L403" s="41"/>
      <c r="M403" s="41"/>
      <c r="N403" s="41"/>
      <c r="O403" s="44"/>
      <c r="P403" s="44"/>
      <c r="Q403" s="44"/>
      <c r="S403" s="41"/>
      <c r="T403" s="41"/>
      <c r="U403" s="41"/>
      <c r="V403" s="41"/>
      <c r="X403" s="44"/>
      <c r="Y403" s="44"/>
      <c r="Z403" s="44"/>
      <c r="AB403" s="41"/>
      <c r="AC403" s="41"/>
      <c r="AD403" s="41"/>
      <c r="AE403" s="41"/>
      <c r="AF403" s="41"/>
      <c r="AG403" s="44"/>
      <c r="AH403" s="44"/>
      <c r="AI403" s="44"/>
    </row>
    <row r="404" spans="10:35" x14ac:dyDescent="0.2">
      <c r="J404" s="41"/>
      <c r="K404" s="41"/>
      <c r="L404" s="41"/>
      <c r="M404" s="41"/>
      <c r="N404" s="41"/>
      <c r="O404" s="44"/>
      <c r="P404" s="44"/>
      <c r="Q404" s="44"/>
      <c r="S404" s="41"/>
      <c r="T404" s="41"/>
      <c r="U404" s="41"/>
      <c r="V404" s="41"/>
      <c r="X404" s="44"/>
      <c r="Y404" s="44"/>
      <c r="Z404" s="44"/>
      <c r="AB404" s="41"/>
      <c r="AC404" s="41"/>
      <c r="AD404" s="41"/>
      <c r="AE404" s="41"/>
      <c r="AF404" s="41"/>
      <c r="AG404" s="44"/>
      <c r="AH404" s="44"/>
      <c r="AI404" s="44"/>
    </row>
    <row r="405" spans="10:35" x14ac:dyDescent="0.2">
      <c r="J405" s="41"/>
      <c r="K405" s="41"/>
      <c r="L405" s="41"/>
      <c r="M405" s="41"/>
      <c r="N405" s="41"/>
      <c r="O405" s="44"/>
      <c r="P405" s="44"/>
      <c r="Q405" s="44"/>
      <c r="S405" s="41"/>
      <c r="T405" s="41"/>
      <c r="U405" s="41"/>
      <c r="V405" s="41"/>
      <c r="X405" s="44"/>
      <c r="Y405" s="44"/>
      <c r="Z405" s="44"/>
      <c r="AB405" s="41"/>
      <c r="AC405" s="41"/>
      <c r="AD405" s="41"/>
      <c r="AE405" s="41"/>
      <c r="AF405" s="41"/>
      <c r="AG405" s="44"/>
      <c r="AH405" s="44"/>
      <c r="AI405" s="44"/>
    </row>
    <row r="406" spans="10:35" x14ac:dyDescent="0.2">
      <c r="J406" s="41"/>
      <c r="K406" s="41"/>
      <c r="L406" s="41"/>
      <c r="M406" s="41"/>
      <c r="N406" s="41"/>
      <c r="O406" s="44"/>
      <c r="P406" s="44"/>
      <c r="Q406" s="44"/>
      <c r="S406" s="41"/>
      <c r="T406" s="41"/>
      <c r="U406" s="41"/>
      <c r="V406" s="41"/>
      <c r="X406" s="44"/>
      <c r="Y406" s="44"/>
      <c r="Z406" s="44"/>
      <c r="AB406" s="41"/>
      <c r="AC406" s="41"/>
      <c r="AD406" s="41"/>
      <c r="AE406" s="41"/>
      <c r="AF406" s="41"/>
      <c r="AG406" s="44"/>
      <c r="AH406" s="44"/>
      <c r="AI406" s="44"/>
    </row>
    <row r="407" spans="10:35" x14ac:dyDescent="0.2">
      <c r="J407" s="41"/>
      <c r="K407" s="41"/>
      <c r="L407" s="41"/>
      <c r="M407" s="41"/>
      <c r="N407" s="41"/>
      <c r="O407" s="44"/>
      <c r="P407" s="44"/>
      <c r="Q407" s="44"/>
      <c r="S407" s="41"/>
      <c r="T407" s="41"/>
      <c r="U407" s="41"/>
      <c r="V407" s="41"/>
      <c r="X407" s="44"/>
      <c r="Y407" s="44"/>
      <c r="Z407" s="44"/>
      <c r="AB407" s="41"/>
      <c r="AC407" s="41"/>
      <c r="AD407" s="41"/>
      <c r="AE407" s="41"/>
      <c r="AF407" s="41"/>
      <c r="AG407" s="44"/>
      <c r="AH407" s="44"/>
      <c r="AI407" s="44"/>
    </row>
    <row r="408" spans="10:35" x14ac:dyDescent="0.2">
      <c r="J408" s="41"/>
      <c r="K408" s="41"/>
      <c r="L408" s="41"/>
      <c r="M408" s="41"/>
      <c r="N408" s="41"/>
      <c r="O408" s="44"/>
      <c r="P408" s="44"/>
      <c r="Q408" s="44"/>
      <c r="S408" s="41"/>
      <c r="T408" s="41"/>
      <c r="U408" s="41"/>
      <c r="V408" s="41"/>
      <c r="X408" s="44"/>
      <c r="Y408" s="44"/>
      <c r="Z408" s="44"/>
      <c r="AB408" s="41"/>
      <c r="AC408" s="41"/>
      <c r="AD408" s="41"/>
      <c r="AE408" s="41"/>
      <c r="AF408" s="41"/>
      <c r="AG408" s="44"/>
      <c r="AH408" s="44"/>
      <c r="AI408" s="44"/>
    </row>
    <row r="409" spans="10:35" x14ac:dyDescent="0.2">
      <c r="J409" s="41"/>
      <c r="K409" s="41"/>
      <c r="L409" s="41"/>
      <c r="M409" s="41"/>
      <c r="N409" s="41"/>
      <c r="O409" s="44"/>
      <c r="P409" s="44"/>
      <c r="Q409" s="44"/>
      <c r="S409" s="41"/>
      <c r="T409" s="41"/>
      <c r="U409" s="41"/>
      <c r="V409" s="41"/>
      <c r="X409" s="44"/>
      <c r="Y409" s="44"/>
      <c r="Z409" s="44"/>
      <c r="AB409" s="41"/>
      <c r="AC409" s="41"/>
      <c r="AD409" s="41"/>
      <c r="AE409" s="41"/>
      <c r="AF409" s="41"/>
      <c r="AG409" s="44"/>
      <c r="AH409" s="44"/>
      <c r="AI409" s="44"/>
    </row>
    <row r="410" spans="10:35" x14ac:dyDescent="0.2">
      <c r="J410" s="41"/>
      <c r="K410" s="41"/>
      <c r="L410" s="41"/>
      <c r="M410" s="41"/>
      <c r="N410" s="41"/>
      <c r="O410" s="44"/>
      <c r="P410" s="44"/>
      <c r="Q410" s="44"/>
      <c r="S410" s="41"/>
      <c r="T410" s="41"/>
      <c r="U410" s="41"/>
      <c r="V410" s="41"/>
      <c r="X410" s="44"/>
      <c r="Y410" s="44"/>
      <c r="Z410" s="44"/>
      <c r="AB410" s="41"/>
      <c r="AC410" s="41"/>
      <c r="AD410" s="41"/>
      <c r="AE410" s="41"/>
      <c r="AF410" s="41"/>
      <c r="AG410" s="44"/>
      <c r="AH410" s="44"/>
      <c r="AI410" s="44"/>
    </row>
    <row r="411" spans="10:35" x14ac:dyDescent="0.2">
      <c r="J411" s="41"/>
      <c r="K411" s="41"/>
      <c r="L411" s="41"/>
      <c r="M411" s="41"/>
      <c r="N411" s="41"/>
      <c r="O411" s="44"/>
      <c r="P411" s="44"/>
      <c r="Q411" s="44"/>
      <c r="S411" s="41"/>
      <c r="T411" s="41"/>
      <c r="U411" s="41"/>
      <c r="V411" s="41"/>
      <c r="X411" s="44"/>
      <c r="Y411" s="44"/>
      <c r="Z411" s="44"/>
      <c r="AB411" s="41"/>
      <c r="AC411" s="41"/>
      <c r="AD411" s="41"/>
      <c r="AE411" s="41"/>
      <c r="AF411" s="41"/>
      <c r="AG411" s="44"/>
      <c r="AH411" s="44"/>
      <c r="AI411" s="44"/>
    </row>
    <row r="412" spans="10:35" x14ac:dyDescent="0.2">
      <c r="J412" s="41"/>
      <c r="K412" s="41"/>
      <c r="L412" s="41"/>
      <c r="M412" s="41"/>
      <c r="N412" s="41"/>
      <c r="O412" s="44"/>
      <c r="P412" s="44"/>
      <c r="Q412" s="44"/>
      <c r="S412" s="41"/>
      <c r="T412" s="41"/>
      <c r="U412" s="41"/>
      <c r="V412" s="41"/>
      <c r="X412" s="44"/>
      <c r="Y412" s="44"/>
      <c r="Z412" s="44"/>
      <c r="AB412" s="41"/>
      <c r="AC412" s="41"/>
      <c r="AD412" s="41"/>
      <c r="AE412" s="41"/>
      <c r="AF412" s="41"/>
      <c r="AG412" s="44"/>
      <c r="AH412" s="44"/>
      <c r="AI412" s="44"/>
    </row>
    <row r="413" spans="10:35" x14ac:dyDescent="0.2">
      <c r="J413" s="41"/>
      <c r="K413" s="41"/>
      <c r="L413" s="41"/>
      <c r="M413" s="41"/>
      <c r="N413" s="41"/>
      <c r="O413" s="44"/>
      <c r="P413" s="44"/>
      <c r="Q413" s="44"/>
      <c r="S413" s="41"/>
      <c r="T413" s="41"/>
      <c r="U413" s="41"/>
      <c r="V413" s="41"/>
      <c r="X413" s="44"/>
      <c r="Y413" s="44"/>
      <c r="Z413" s="44"/>
      <c r="AB413" s="41"/>
      <c r="AC413" s="41"/>
      <c r="AD413" s="41"/>
      <c r="AE413" s="41"/>
      <c r="AF413" s="41"/>
      <c r="AG413" s="44"/>
      <c r="AH413" s="44"/>
      <c r="AI413" s="44"/>
    </row>
    <row r="414" spans="10:35" x14ac:dyDescent="0.2">
      <c r="J414" s="41"/>
      <c r="K414" s="41"/>
      <c r="L414" s="41"/>
      <c r="M414" s="41"/>
      <c r="N414" s="41"/>
      <c r="O414" s="44"/>
      <c r="P414" s="44"/>
      <c r="Q414" s="44"/>
      <c r="S414" s="41"/>
      <c r="T414" s="41"/>
      <c r="U414" s="41"/>
      <c r="V414" s="41"/>
      <c r="X414" s="44"/>
      <c r="Y414" s="44"/>
      <c r="Z414" s="44"/>
      <c r="AB414" s="41"/>
      <c r="AC414" s="41"/>
      <c r="AD414" s="41"/>
      <c r="AE414" s="41"/>
      <c r="AF414" s="41"/>
      <c r="AG414" s="44"/>
      <c r="AH414" s="44"/>
      <c r="AI414" s="44"/>
    </row>
    <row r="415" spans="10:35" x14ac:dyDescent="0.2">
      <c r="J415" s="41"/>
      <c r="K415" s="41"/>
      <c r="L415" s="41"/>
      <c r="M415" s="41"/>
      <c r="N415" s="41"/>
      <c r="O415" s="44"/>
      <c r="P415" s="44"/>
      <c r="Q415" s="44"/>
      <c r="S415" s="41"/>
      <c r="T415" s="41"/>
      <c r="U415" s="41"/>
      <c r="V415" s="41"/>
      <c r="X415" s="44"/>
      <c r="Y415" s="44"/>
      <c r="Z415" s="44"/>
      <c r="AB415" s="41"/>
      <c r="AC415" s="41"/>
      <c r="AD415" s="41"/>
      <c r="AE415" s="41"/>
      <c r="AF415" s="41"/>
      <c r="AG415" s="44"/>
      <c r="AH415" s="44"/>
      <c r="AI415" s="44"/>
    </row>
    <row r="416" spans="10:35" x14ac:dyDescent="0.2">
      <c r="J416" s="41"/>
      <c r="K416" s="41"/>
      <c r="L416" s="41"/>
      <c r="M416" s="41"/>
      <c r="N416" s="41"/>
      <c r="O416" s="44"/>
      <c r="P416" s="44"/>
      <c r="Q416" s="44"/>
      <c r="S416" s="41"/>
      <c r="T416" s="41"/>
      <c r="U416" s="41"/>
      <c r="V416" s="41"/>
      <c r="X416" s="44"/>
      <c r="Y416" s="44"/>
      <c r="Z416" s="44"/>
      <c r="AB416" s="41"/>
      <c r="AC416" s="41"/>
      <c r="AD416" s="41"/>
      <c r="AE416" s="41"/>
      <c r="AF416" s="41"/>
      <c r="AG416" s="44"/>
      <c r="AH416" s="44"/>
      <c r="AI416" s="44"/>
    </row>
    <row r="417" spans="10:35" x14ac:dyDescent="0.2">
      <c r="J417" s="41"/>
      <c r="K417" s="41"/>
      <c r="L417" s="41"/>
      <c r="M417" s="41"/>
      <c r="N417" s="41"/>
      <c r="O417" s="44"/>
      <c r="P417" s="44"/>
      <c r="Q417" s="44"/>
      <c r="S417" s="41"/>
      <c r="T417" s="41"/>
      <c r="U417" s="41"/>
      <c r="V417" s="41"/>
      <c r="X417" s="44"/>
      <c r="Y417" s="44"/>
      <c r="Z417" s="44"/>
      <c r="AB417" s="41"/>
      <c r="AC417" s="41"/>
      <c r="AD417" s="41"/>
      <c r="AE417" s="41"/>
      <c r="AF417" s="41"/>
      <c r="AG417" s="44"/>
      <c r="AH417" s="44"/>
      <c r="AI417" s="44"/>
    </row>
    <row r="418" spans="10:35" x14ac:dyDescent="0.2">
      <c r="J418" s="41"/>
      <c r="K418" s="41"/>
      <c r="L418" s="41"/>
      <c r="M418" s="41"/>
      <c r="N418" s="41"/>
      <c r="O418" s="44"/>
      <c r="P418" s="44"/>
      <c r="Q418" s="44"/>
      <c r="S418" s="41"/>
      <c r="T418" s="41"/>
      <c r="U418" s="41"/>
      <c r="V418" s="41"/>
      <c r="X418" s="44"/>
      <c r="Y418" s="44"/>
      <c r="Z418" s="44"/>
      <c r="AB418" s="41"/>
      <c r="AC418" s="41"/>
      <c r="AD418" s="41"/>
      <c r="AE418" s="41"/>
      <c r="AF418" s="41"/>
      <c r="AG418" s="44"/>
      <c r="AH418" s="44"/>
      <c r="AI418" s="44"/>
    </row>
    <row r="419" spans="10:35" x14ac:dyDescent="0.2">
      <c r="J419" s="41"/>
      <c r="K419" s="41"/>
      <c r="L419" s="41"/>
      <c r="M419" s="41"/>
      <c r="N419" s="41"/>
      <c r="O419" s="44"/>
      <c r="P419" s="44"/>
      <c r="Q419" s="44"/>
      <c r="S419" s="41"/>
      <c r="T419" s="41"/>
      <c r="U419" s="41"/>
      <c r="V419" s="41"/>
      <c r="X419" s="44"/>
      <c r="Y419" s="44"/>
      <c r="Z419" s="44"/>
      <c r="AB419" s="41"/>
      <c r="AC419" s="41"/>
      <c r="AD419" s="41"/>
      <c r="AE419" s="41"/>
      <c r="AF419" s="41"/>
      <c r="AG419" s="44"/>
      <c r="AH419" s="44"/>
      <c r="AI419" s="44"/>
    </row>
    <row r="420" spans="10:35" x14ac:dyDescent="0.2">
      <c r="J420" s="41"/>
      <c r="K420" s="41"/>
      <c r="L420" s="41"/>
      <c r="M420" s="41"/>
      <c r="N420" s="41"/>
      <c r="O420" s="44"/>
      <c r="P420" s="44"/>
      <c r="Q420" s="44"/>
      <c r="S420" s="41"/>
      <c r="T420" s="41"/>
      <c r="U420" s="41"/>
      <c r="V420" s="41"/>
      <c r="X420" s="44"/>
      <c r="Y420" s="44"/>
      <c r="Z420" s="44"/>
      <c r="AB420" s="41"/>
      <c r="AC420" s="41"/>
      <c r="AD420" s="41"/>
      <c r="AE420" s="41"/>
      <c r="AF420" s="41"/>
      <c r="AG420" s="44"/>
      <c r="AH420" s="44"/>
      <c r="AI420" s="44"/>
    </row>
    <row r="421" spans="10:35" x14ac:dyDescent="0.2">
      <c r="J421" s="41"/>
      <c r="K421" s="41"/>
      <c r="L421" s="41"/>
      <c r="M421" s="41"/>
      <c r="N421" s="41"/>
      <c r="O421" s="44"/>
      <c r="P421" s="44"/>
      <c r="Q421" s="44"/>
      <c r="S421" s="41"/>
      <c r="T421" s="41"/>
      <c r="U421" s="41"/>
      <c r="V421" s="41"/>
      <c r="X421" s="44"/>
      <c r="Y421" s="44"/>
      <c r="Z421" s="44"/>
      <c r="AB421" s="41"/>
      <c r="AC421" s="41"/>
      <c r="AD421" s="41"/>
      <c r="AE421" s="41"/>
      <c r="AF421" s="41"/>
      <c r="AG421" s="44"/>
      <c r="AH421" s="44"/>
      <c r="AI421" s="44"/>
    </row>
    <row r="422" spans="10:35" x14ac:dyDescent="0.2">
      <c r="J422" s="41"/>
      <c r="K422" s="41"/>
      <c r="L422" s="41"/>
      <c r="M422" s="41"/>
      <c r="N422" s="41"/>
      <c r="O422" s="44"/>
      <c r="P422" s="44"/>
      <c r="Q422" s="44"/>
      <c r="S422" s="41"/>
      <c r="T422" s="41"/>
      <c r="U422" s="41"/>
      <c r="V422" s="41"/>
      <c r="X422" s="44"/>
      <c r="Y422" s="44"/>
      <c r="Z422" s="44"/>
      <c r="AB422" s="41"/>
      <c r="AC422" s="41"/>
      <c r="AD422" s="41"/>
      <c r="AE422" s="41"/>
      <c r="AF422" s="41"/>
      <c r="AG422" s="44"/>
      <c r="AH422" s="44"/>
      <c r="AI422" s="44"/>
    </row>
    <row r="423" spans="10:35" x14ac:dyDescent="0.2">
      <c r="J423" s="41"/>
      <c r="K423" s="41"/>
      <c r="L423" s="41"/>
      <c r="M423" s="41"/>
      <c r="N423" s="41"/>
      <c r="O423" s="44"/>
      <c r="P423" s="44"/>
      <c r="Q423" s="44"/>
      <c r="S423" s="41"/>
      <c r="T423" s="41"/>
      <c r="U423" s="41"/>
      <c r="V423" s="41"/>
      <c r="X423" s="44"/>
      <c r="Y423" s="44"/>
      <c r="Z423" s="44"/>
      <c r="AB423" s="41"/>
      <c r="AC423" s="41"/>
      <c r="AD423" s="41"/>
      <c r="AE423" s="41"/>
      <c r="AF423" s="41"/>
      <c r="AG423" s="44"/>
      <c r="AH423" s="44"/>
      <c r="AI423" s="44"/>
    </row>
    <row r="424" spans="10:35" x14ac:dyDescent="0.2">
      <c r="J424" s="41"/>
      <c r="K424" s="41"/>
      <c r="L424" s="41"/>
      <c r="M424" s="41"/>
      <c r="N424" s="41"/>
      <c r="O424" s="44"/>
      <c r="P424" s="44"/>
      <c r="Q424" s="44"/>
      <c r="S424" s="41"/>
      <c r="T424" s="41"/>
      <c r="U424" s="41"/>
      <c r="V424" s="41"/>
      <c r="X424" s="44"/>
      <c r="Y424" s="44"/>
      <c r="Z424" s="44"/>
      <c r="AB424" s="41"/>
      <c r="AC424" s="41"/>
      <c r="AD424" s="41"/>
      <c r="AE424" s="41"/>
      <c r="AF424" s="41"/>
      <c r="AG424" s="44"/>
      <c r="AH424" s="44"/>
      <c r="AI424" s="44"/>
    </row>
    <row r="425" spans="10:35" x14ac:dyDescent="0.2">
      <c r="J425" s="41"/>
      <c r="K425" s="41"/>
      <c r="L425" s="41"/>
      <c r="M425" s="41"/>
      <c r="N425" s="41"/>
      <c r="O425" s="44"/>
      <c r="P425" s="44"/>
      <c r="Q425" s="44"/>
      <c r="S425" s="41"/>
      <c r="T425" s="41"/>
      <c r="U425" s="41"/>
      <c r="V425" s="41"/>
      <c r="X425" s="44"/>
      <c r="Y425" s="44"/>
      <c r="Z425" s="44"/>
      <c r="AB425" s="41"/>
      <c r="AC425" s="41"/>
      <c r="AD425" s="41"/>
      <c r="AE425" s="41"/>
      <c r="AF425" s="41"/>
      <c r="AG425" s="44"/>
      <c r="AH425" s="44"/>
      <c r="AI425" s="44"/>
    </row>
    <row r="426" spans="10:35" x14ac:dyDescent="0.2">
      <c r="J426" s="41"/>
      <c r="K426" s="41"/>
      <c r="L426" s="41"/>
      <c r="M426" s="41"/>
      <c r="N426" s="41"/>
      <c r="O426" s="44"/>
      <c r="P426" s="44"/>
      <c r="Q426" s="44"/>
      <c r="S426" s="41"/>
      <c r="T426" s="41"/>
      <c r="U426" s="41"/>
      <c r="V426" s="41"/>
      <c r="X426" s="44"/>
      <c r="Y426" s="44"/>
      <c r="Z426" s="44"/>
      <c r="AB426" s="41"/>
      <c r="AC426" s="41"/>
      <c r="AD426" s="41"/>
      <c r="AE426" s="41"/>
      <c r="AF426" s="41"/>
      <c r="AG426" s="44"/>
      <c r="AH426" s="44"/>
      <c r="AI426" s="44"/>
    </row>
    <row r="427" spans="10:35" x14ac:dyDescent="0.2">
      <c r="J427" s="41"/>
      <c r="K427" s="41"/>
      <c r="L427" s="41"/>
      <c r="M427" s="41"/>
      <c r="N427" s="41"/>
      <c r="O427" s="44"/>
      <c r="P427" s="44"/>
      <c r="Q427" s="44"/>
      <c r="S427" s="41"/>
      <c r="T427" s="41"/>
      <c r="U427" s="41"/>
      <c r="V427" s="41"/>
      <c r="X427" s="44"/>
      <c r="Y427" s="44"/>
      <c r="Z427" s="44"/>
      <c r="AB427" s="41"/>
      <c r="AC427" s="41"/>
      <c r="AD427" s="41"/>
      <c r="AE427" s="41"/>
      <c r="AF427" s="41"/>
      <c r="AG427" s="44"/>
      <c r="AH427" s="44"/>
      <c r="AI427" s="44"/>
    </row>
    <row r="428" spans="10:35" x14ac:dyDescent="0.2">
      <c r="J428" s="41"/>
      <c r="K428" s="41"/>
      <c r="L428" s="41"/>
      <c r="M428" s="41"/>
      <c r="N428" s="41"/>
      <c r="O428" s="44"/>
      <c r="P428" s="44"/>
      <c r="Q428" s="44"/>
      <c r="S428" s="41"/>
      <c r="T428" s="41"/>
      <c r="U428" s="41"/>
      <c r="V428" s="41"/>
      <c r="X428" s="44"/>
      <c r="Y428" s="44"/>
      <c r="Z428" s="44"/>
      <c r="AB428" s="41"/>
      <c r="AC428" s="41"/>
      <c r="AD428" s="41"/>
      <c r="AE428" s="41"/>
      <c r="AF428" s="41"/>
      <c r="AG428" s="44"/>
      <c r="AH428" s="44"/>
      <c r="AI428" s="44"/>
    </row>
    <row r="429" spans="10:35" x14ac:dyDescent="0.2">
      <c r="J429" s="41"/>
      <c r="K429" s="41"/>
      <c r="L429" s="41"/>
      <c r="M429" s="41"/>
      <c r="N429" s="41"/>
      <c r="O429" s="44"/>
      <c r="P429" s="44"/>
      <c r="Q429" s="44"/>
      <c r="S429" s="41"/>
      <c r="T429" s="41"/>
      <c r="U429" s="41"/>
      <c r="V429" s="41"/>
      <c r="X429" s="44"/>
      <c r="Y429" s="44"/>
      <c r="Z429" s="44"/>
      <c r="AB429" s="41"/>
      <c r="AC429" s="41"/>
      <c r="AD429" s="41"/>
      <c r="AE429" s="41"/>
      <c r="AF429" s="41"/>
      <c r="AG429" s="44"/>
      <c r="AH429" s="44"/>
      <c r="AI429" s="44"/>
    </row>
    <row r="430" spans="10:35" x14ac:dyDescent="0.2">
      <c r="J430" s="41"/>
      <c r="K430" s="41"/>
      <c r="L430" s="41"/>
      <c r="M430" s="41"/>
      <c r="N430" s="41"/>
      <c r="O430" s="44"/>
      <c r="P430" s="44"/>
      <c r="Q430" s="44"/>
      <c r="S430" s="41"/>
      <c r="T430" s="41"/>
      <c r="U430" s="41"/>
      <c r="V430" s="41"/>
      <c r="X430" s="44"/>
      <c r="Y430" s="44"/>
      <c r="Z430" s="44"/>
      <c r="AB430" s="41"/>
      <c r="AC430" s="41"/>
      <c r="AD430" s="41"/>
      <c r="AE430" s="41"/>
      <c r="AF430" s="41"/>
      <c r="AG430" s="44"/>
      <c r="AH430" s="44"/>
      <c r="AI430" s="44"/>
    </row>
    <row r="431" spans="10:35" x14ac:dyDescent="0.2">
      <c r="J431" s="41"/>
      <c r="K431" s="41"/>
      <c r="L431" s="41"/>
      <c r="M431" s="41"/>
      <c r="N431" s="41"/>
      <c r="O431" s="44"/>
      <c r="P431" s="44"/>
      <c r="Q431" s="44"/>
      <c r="S431" s="41"/>
      <c r="T431" s="41"/>
      <c r="U431" s="41"/>
      <c r="V431" s="41"/>
      <c r="X431" s="44"/>
      <c r="Y431" s="44"/>
      <c r="Z431" s="44"/>
      <c r="AB431" s="41"/>
      <c r="AC431" s="41"/>
      <c r="AD431" s="41"/>
      <c r="AE431" s="41"/>
      <c r="AF431" s="41"/>
      <c r="AG431" s="44"/>
      <c r="AH431" s="44"/>
      <c r="AI431" s="44"/>
    </row>
    <row r="432" spans="10:35" x14ac:dyDescent="0.2">
      <c r="J432" s="41"/>
      <c r="K432" s="41"/>
      <c r="L432" s="41"/>
      <c r="M432" s="41"/>
      <c r="N432" s="41"/>
      <c r="O432" s="44"/>
      <c r="P432" s="44"/>
      <c r="Q432" s="44"/>
      <c r="S432" s="41"/>
      <c r="T432" s="41"/>
      <c r="U432" s="41"/>
      <c r="V432" s="41"/>
      <c r="X432" s="44"/>
      <c r="Y432" s="44"/>
      <c r="Z432" s="44"/>
      <c r="AB432" s="41"/>
      <c r="AC432" s="41"/>
      <c r="AD432" s="41"/>
      <c r="AE432" s="41"/>
      <c r="AF432" s="41"/>
      <c r="AG432" s="44"/>
      <c r="AH432" s="44"/>
      <c r="AI432" s="44"/>
    </row>
    <row r="433" spans="10:35" x14ac:dyDescent="0.2">
      <c r="J433" s="41"/>
      <c r="K433" s="41"/>
      <c r="L433" s="41"/>
      <c r="M433" s="41"/>
      <c r="N433" s="41"/>
      <c r="O433" s="44"/>
      <c r="P433" s="44"/>
      <c r="Q433" s="44"/>
      <c r="S433" s="41"/>
      <c r="T433" s="41"/>
      <c r="U433" s="41"/>
      <c r="V433" s="41"/>
      <c r="X433" s="44"/>
      <c r="Y433" s="44"/>
      <c r="Z433" s="44"/>
      <c r="AB433" s="41"/>
      <c r="AC433" s="41"/>
      <c r="AD433" s="41"/>
      <c r="AE433" s="41"/>
      <c r="AF433" s="41"/>
      <c r="AG433" s="44"/>
      <c r="AH433" s="44"/>
      <c r="AI433" s="44"/>
    </row>
    <row r="434" spans="10:35" x14ac:dyDescent="0.2">
      <c r="J434" s="41"/>
      <c r="K434" s="41"/>
      <c r="L434" s="41"/>
      <c r="M434" s="41"/>
      <c r="N434" s="41"/>
      <c r="O434" s="44"/>
      <c r="P434" s="44"/>
      <c r="Q434" s="44"/>
      <c r="S434" s="41"/>
      <c r="T434" s="41"/>
      <c r="U434" s="41"/>
      <c r="V434" s="41"/>
      <c r="X434" s="44"/>
      <c r="Y434" s="44"/>
      <c r="Z434" s="44"/>
      <c r="AB434" s="41"/>
      <c r="AC434" s="41"/>
      <c r="AD434" s="41"/>
      <c r="AE434" s="41"/>
      <c r="AF434" s="41"/>
      <c r="AG434" s="44"/>
      <c r="AH434" s="44"/>
      <c r="AI434" s="44"/>
    </row>
    <row r="435" spans="10:35" x14ac:dyDescent="0.2">
      <c r="J435" s="41"/>
      <c r="K435" s="41"/>
      <c r="L435" s="41"/>
      <c r="M435" s="41"/>
      <c r="N435" s="41"/>
      <c r="O435" s="44"/>
      <c r="P435" s="44"/>
      <c r="Q435" s="44"/>
      <c r="S435" s="41"/>
      <c r="T435" s="41"/>
      <c r="U435" s="41"/>
      <c r="V435" s="41"/>
      <c r="X435" s="44"/>
      <c r="Y435" s="44"/>
      <c r="Z435" s="44"/>
      <c r="AB435" s="41"/>
      <c r="AC435" s="41"/>
      <c r="AD435" s="41"/>
      <c r="AE435" s="41"/>
      <c r="AF435" s="41"/>
      <c r="AG435" s="44"/>
      <c r="AH435" s="44"/>
      <c r="AI435" s="44"/>
    </row>
    <row r="436" spans="10:35" x14ac:dyDescent="0.2">
      <c r="J436" s="41"/>
      <c r="K436" s="41"/>
      <c r="L436" s="41"/>
      <c r="M436" s="41"/>
      <c r="N436" s="41"/>
      <c r="O436" s="44"/>
      <c r="P436" s="44"/>
      <c r="Q436" s="44"/>
      <c r="S436" s="41"/>
      <c r="T436" s="41"/>
      <c r="U436" s="41"/>
      <c r="V436" s="41"/>
      <c r="X436" s="44"/>
      <c r="Y436" s="44"/>
      <c r="Z436" s="44"/>
      <c r="AB436" s="41"/>
      <c r="AC436" s="41"/>
      <c r="AD436" s="41"/>
      <c r="AE436" s="41"/>
      <c r="AF436" s="41"/>
      <c r="AG436" s="44"/>
      <c r="AH436" s="44"/>
      <c r="AI436" s="44"/>
    </row>
    <row r="437" spans="10:35" x14ac:dyDescent="0.2">
      <c r="J437" s="41"/>
      <c r="K437" s="41"/>
      <c r="L437" s="41"/>
      <c r="M437" s="41"/>
      <c r="N437" s="41"/>
      <c r="O437" s="44"/>
      <c r="P437" s="44"/>
      <c r="Q437" s="44"/>
      <c r="S437" s="41"/>
      <c r="T437" s="41"/>
      <c r="U437" s="41"/>
      <c r="V437" s="41"/>
      <c r="X437" s="44"/>
      <c r="Y437" s="44"/>
      <c r="Z437" s="44"/>
      <c r="AB437" s="41"/>
      <c r="AC437" s="41"/>
      <c r="AD437" s="41"/>
      <c r="AE437" s="41"/>
      <c r="AF437" s="41"/>
      <c r="AG437" s="44"/>
      <c r="AH437" s="44"/>
      <c r="AI437" s="44"/>
    </row>
    <row r="438" spans="10:35" x14ac:dyDescent="0.2">
      <c r="J438" s="41"/>
      <c r="K438" s="41"/>
      <c r="L438" s="41"/>
      <c r="M438" s="41"/>
      <c r="N438" s="41"/>
      <c r="O438" s="44"/>
      <c r="P438" s="44"/>
      <c r="Q438" s="44"/>
      <c r="S438" s="41"/>
      <c r="T438" s="41"/>
      <c r="U438" s="41"/>
      <c r="V438" s="41"/>
      <c r="X438" s="44"/>
      <c r="Y438" s="44"/>
      <c r="Z438" s="44"/>
      <c r="AB438" s="41"/>
      <c r="AC438" s="41"/>
      <c r="AD438" s="41"/>
      <c r="AE438" s="41"/>
      <c r="AF438" s="41"/>
      <c r="AG438" s="44"/>
      <c r="AH438" s="44"/>
      <c r="AI438" s="44"/>
    </row>
    <row r="439" spans="10:35" x14ac:dyDescent="0.2">
      <c r="J439" s="41"/>
      <c r="K439" s="41"/>
      <c r="L439" s="41"/>
      <c r="M439" s="41"/>
      <c r="N439" s="41"/>
      <c r="O439" s="44"/>
      <c r="P439" s="44"/>
      <c r="Q439" s="44"/>
      <c r="S439" s="41"/>
      <c r="T439" s="41"/>
      <c r="U439" s="41"/>
      <c r="V439" s="41"/>
      <c r="X439" s="44"/>
      <c r="Y439" s="44"/>
      <c r="Z439" s="44"/>
      <c r="AB439" s="41"/>
      <c r="AC439" s="41"/>
      <c r="AD439" s="41"/>
      <c r="AE439" s="41"/>
      <c r="AF439" s="41"/>
      <c r="AG439" s="44"/>
      <c r="AH439" s="44"/>
      <c r="AI439" s="44"/>
    </row>
    <row r="440" spans="10:35" x14ac:dyDescent="0.2">
      <c r="J440" s="41"/>
      <c r="K440" s="41"/>
      <c r="L440" s="41"/>
      <c r="M440" s="41"/>
      <c r="N440" s="41"/>
      <c r="O440" s="44"/>
      <c r="P440" s="44"/>
      <c r="Q440" s="44"/>
      <c r="S440" s="41"/>
      <c r="T440" s="41"/>
      <c r="U440" s="41"/>
      <c r="V440" s="41"/>
      <c r="X440" s="44"/>
      <c r="Y440" s="44"/>
      <c r="Z440" s="44"/>
      <c r="AB440" s="41"/>
      <c r="AC440" s="41"/>
      <c r="AD440" s="41"/>
      <c r="AE440" s="41"/>
      <c r="AF440" s="41"/>
      <c r="AG440" s="44"/>
      <c r="AH440" s="44"/>
      <c r="AI440" s="44"/>
    </row>
    <row r="441" spans="10:35" x14ac:dyDescent="0.2">
      <c r="J441" s="41"/>
      <c r="K441" s="41"/>
      <c r="L441" s="41"/>
      <c r="M441" s="41"/>
      <c r="N441" s="41"/>
      <c r="O441" s="44"/>
      <c r="P441" s="44"/>
      <c r="Q441" s="44"/>
      <c r="S441" s="41"/>
      <c r="T441" s="41"/>
      <c r="U441" s="41"/>
      <c r="V441" s="41"/>
      <c r="X441" s="44"/>
      <c r="Y441" s="44"/>
      <c r="Z441" s="44"/>
      <c r="AB441" s="41"/>
      <c r="AC441" s="41"/>
      <c r="AD441" s="41"/>
      <c r="AE441" s="41"/>
      <c r="AF441" s="41"/>
      <c r="AG441" s="44"/>
      <c r="AH441" s="44"/>
      <c r="AI441" s="44"/>
    </row>
    <row r="442" spans="10:35" x14ac:dyDescent="0.2">
      <c r="J442" s="41"/>
      <c r="K442" s="41"/>
      <c r="L442" s="41"/>
      <c r="M442" s="41"/>
      <c r="N442" s="41"/>
      <c r="O442" s="44"/>
      <c r="P442" s="44"/>
      <c r="Q442" s="44"/>
      <c r="S442" s="41"/>
      <c r="T442" s="41"/>
      <c r="U442" s="41"/>
      <c r="V442" s="41"/>
      <c r="X442" s="44"/>
      <c r="Y442" s="44"/>
      <c r="Z442" s="44"/>
      <c r="AB442" s="41"/>
      <c r="AC442" s="41"/>
      <c r="AD442" s="41"/>
      <c r="AE442" s="41"/>
      <c r="AF442" s="41"/>
      <c r="AG442" s="44"/>
      <c r="AH442" s="44"/>
      <c r="AI442" s="44"/>
    </row>
    <row r="443" spans="10:35" x14ac:dyDescent="0.2">
      <c r="J443" s="41"/>
      <c r="K443" s="41"/>
      <c r="L443" s="41"/>
      <c r="M443" s="41"/>
      <c r="N443" s="41"/>
      <c r="O443" s="44"/>
      <c r="P443" s="44"/>
      <c r="Q443" s="44"/>
      <c r="S443" s="41"/>
      <c r="T443" s="41"/>
      <c r="U443" s="41"/>
      <c r="V443" s="41"/>
      <c r="X443" s="44"/>
      <c r="Y443" s="44"/>
      <c r="Z443" s="44"/>
      <c r="AB443" s="41"/>
      <c r="AC443" s="41"/>
      <c r="AD443" s="41"/>
      <c r="AE443" s="41"/>
      <c r="AF443" s="41"/>
      <c r="AG443" s="44"/>
      <c r="AH443" s="44"/>
      <c r="AI443" s="44"/>
    </row>
    <row r="444" spans="10:35" x14ac:dyDescent="0.2">
      <c r="J444" s="41"/>
      <c r="K444" s="41"/>
      <c r="L444" s="41"/>
      <c r="M444" s="41"/>
      <c r="N444" s="41"/>
      <c r="O444" s="44"/>
      <c r="P444" s="44"/>
      <c r="Q444" s="44"/>
      <c r="S444" s="41"/>
      <c r="T444" s="41"/>
      <c r="U444" s="41"/>
      <c r="V444" s="41"/>
      <c r="X444" s="44"/>
      <c r="Y444" s="44"/>
      <c r="Z444" s="44"/>
      <c r="AB444" s="41"/>
      <c r="AC444" s="41"/>
      <c r="AD444" s="41"/>
      <c r="AE444" s="41"/>
      <c r="AF444" s="41"/>
      <c r="AG444" s="44"/>
      <c r="AH444" s="44"/>
      <c r="AI444" s="44"/>
    </row>
    <row r="445" spans="10:35" x14ac:dyDescent="0.2">
      <c r="J445" s="41"/>
      <c r="K445" s="41"/>
      <c r="L445" s="41"/>
      <c r="M445" s="41"/>
      <c r="N445" s="41"/>
      <c r="O445" s="44"/>
      <c r="P445" s="44"/>
      <c r="Q445" s="44"/>
      <c r="S445" s="41"/>
      <c r="T445" s="41"/>
      <c r="U445" s="41"/>
      <c r="V445" s="41"/>
      <c r="X445" s="44"/>
      <c r="Y445" s="44"/>
      <c r="Z445" s="44"/>
      <c r="AB445" s="41"/>
      <c r="AC445" s="41"/>
      <c r="AD445" s="41"/>
      <c r="AE445" s="41"/>
      <c r="AF445" s="41"/>
      <c r="AG445" s="44"/>
      <c r="AH445" s="44"/>
      <c r="AI445" s="44"/>
    </row>
    <row r="446" spans="10:35" x14ac:dyDescent="0.2">
      <c r="J446" s="41"/>
      <c r="K446" s="41"/>
      <c r="L446" s="41"/>
      <c r="M446" s="41"/>
      <c r="N446" s="41"/>
      <c r="O446" s="44"/>
      <c r="P446" s="44"/>
      <c r="Q446" s="44"/>
      <c r="S446" s="41"/>
      <c r="T446" s="41"/>
      <c r="U446" s="41"/>
      <c r="V446" s="41"/>
      <c r="X446" s="44"/>
      <c r="Y446" s="44"/>
      <c r="Z446" s="44"/>
      <c r="AB446" s="41"/>
      <c r="AC446" s="41"/>
      <c r="AD446" s="41"/>
      <c r="AE446" s="41"/>
      <c r="AF446" s="41"/>
      <c r="AG446" s="44"/>
      <c r="AH446" s="44"/>
      <c r="AI446" s="44"/>
    </row>
    <row r="447" spans="10:35" x14ac:dyDescent="0.2">
      <c r="J447" s="41"/>
      <c r="K447" s="41"/>
      <c r="L447" s="41"/>
      <c r="M447" s="41"/>
      <c r="N447" s="41"/>
      <c r="O447" s="44"/>
      <c r="P447" s="44"/>
      <c r="Q447" s="44"/>
      <c r="S447" s="41"/>
      <c r="T447" s="41"/>
      <c r="U447" s="41"/>
      <c r="V447" s="41"/>
      <c r="X447" s="44"/>
      <c r="Y447" s="44"/>
      <c r="Z447" s="44"/>
      <c r="AB447" s="41"/>
      <c r="AC447" s="41"/>
      <c r="AD447" s="41"/>
      <c r="AE447" s="41"/>
      <c r="AF447" s="41"/>
      <c r="AG447" s="44"/>
      <c r="AH447" s="44"/>
      <c r="AI447" s="44"/>
    </row>
    <row r="448" spans="10:35" x14ac:dyDescent="0.2">
      <c r="J448" s="41"/>
      <c r="K448" s="41"/>
      <c r="L448" s="41"/>
      <c r="M448" s="41"/>
      <c r="N448" s="41"/>
      <c r="O448" s="44"/>
      <c r="P448" s="44"/>
      <c r="Q448" s="44"/>
      <c r="S448" s="41"/>
      <c r="T448" s="41"/>
      <c r="U448" s="41"/>
      <c r="V448" s="41"/>
      <c r="X448" s="44"/>
      <c r="Y448" s="44"/>
      <c r="Z448" s="44"/>
      <c r="AB448" s="41"/>
      <c r="AC448" s="41"/>
      <c r="AD448" s="41"/>
      <c r="AE448" s="41"/>
      <c r="AF448" s="41"/>
      <c r="AG448" s="44"/>
      <c r="AH448" s="44"/>
      <c r="AI448" s="44"/>
    </row>
    <row r="449" spans="10:35" x14ac:dyDescent="0.2">
      <c r="J449" s="41"/>
      <c r="K449" s="41"/>
      <c r="L449" s="41"/>
      <c r="M449" s="41"/>
      <c r="N449" s="41"/>
      <c r="O449" s="44"/>
      <c r="P449" s="44"/>
      <c r="Q449" s="44"/>
      <c r="S449" s="41"/>
      <c r="T449" s="41"/>
      <c r="U449" s="41"/>
      <c r="V449" s="41"/>
      <c r="X449" s="44"/>
      <c r="Y449" s="44"/>
      <c r="Z449" s="44"/>
      <c r="AB449" s="41"/>
      <c r="AC449" s="41"/>
      <c r="AD449" s="41"/>
      <c r="AE449" s="41"/>
      <c r="AF449" s="41"/>
      <c r="AG449" s="44"/>
      <c r="AH449" s="44"/>
      <c r="AI449" s="44"/>
    </row>
    <row r="450" spans="10:35" x14ac:dyDescent="0.2">
      <c r="J450" s="41"/>
      <c r="K450" s="41"/>
      <c r="L450" s="41"/>
      <c r="M450" s="41"/>
      <c r="N450" s="41"/>
      <c r="O450" s="44"/>
      <c r="P450" s="44"/>
      <c r="Q450" s="44"/>
      <c r="S450" s="41"/>
      <c r="T450" s="41"/>
      <c r="U450" s="41"/>
      <c r="V450" s="41"/>
      <c r="X450" s="44"/>
      <c r="Y450" s="44"/>
      <c r="Z450" s="44"/>
      <c r="AB450" s="41"/>
      <c r="AC450" s="41"/>
      <c r="AD450" s="41"/>
      <c r="AE450" s="41"/>
      <c r="AF450" s="41"/>
      <c r="AG450" s="44"/>
      <c r="AH450" s="44"/>
      <c r="AI450" s="44"/>
    </row>
    <row r="451" spans="10:35" x14ac:dyDescent="0.2">
      <c r="J451" s="41"/>
      <c r="K451" s="41"/>
      <c r="L451" s="41"/>
      <c r="M451" s="41"/>
      <c r="N451" s="41"/>
      <c r="O451" s="44"/>
      <c r="P451" s="44"/>
      <c r="Q451" s="44"/>
      <c r="S451" s="41"/>
      <c r="T451" s="41"/>
      <c r="U451" s="41"/>
      <c r="V451" s="41"/>
      <c r="X451" s="44"/>
      <c r="Y451" s="44"/>
      <c r="Z451" s="44"/>
      <c r="AB451" s="41"/>
      <c r="AC451" s="41"/>
      <c r="AD451" s="41"/>
      <c r="AE451" s="41"/>
      <c r="AF451" s="41"/>
      <c r="AG451" s="44"/>
      <c r="AH451" s="44"/>
      <c r="AI451" s="44"/>
    </row>
    <row r="452" spans="10:35" x14ac:dyDescent="0.2">
      <c r="J452" s="41"/>
      <c r="K452" s="41"/>
      <c r="L452" s="41"/>
      <c r="M452" s="41"/>
      <c r="N452" s="41"/>
      <c r="O452" s="44"/>
      <c r="P452" s="44"/>
      <c r="Q452" s="44"/>
      <c r="S452" s="41"/>
      <c r="T452" s="41"/>
      <c r="U452" s="41"/>
      <c r="V452" s="41"/>
      <c r="X452" s="44"/>
      <c r="Y452" s="44"/>
      <c r="Z452" s="44"/>
      <c r="AB452" s="41"/>
      <c r="AC452" s="41"/>
      <c r="AD452" s="41"/>
      <c r="AE452" s="41"/>
      <c r="AF452" s="41"/>
      <c r="AG452" s="44"/>
      <c r="AH452" s="44"/>
      <c r="AI452" s="44"/>
    </row>
    <row r="453" spans="10:35" x14ac:dyDescent="0.2">
      <c r="J453" s="41"/>
      <c r="K453" s="41"/>
      <c r="L453" s="41"/>
      <c r="M453" s="41"/>
      <c r="N453" s="41"/>
      <c r="O453" s="44"/>
      <c r="P453" s="44"/>
      <c r="Q453" s="44"/>
      <c r="S453" s="41"/>
      <c r="T453" s="41"/>
      <c r="U453" s="41"/>
      <c r="V453" s="41"/>
      <c r="X453" s="44"/>
      <c r="Y453" s="44"/>
      <c r="Z453" s="44"/>
      <c r="AB453" s="41"/>
      <c r="AC453" s="41"/>
      <c r="AD453" s="41"/>
      <c r="AE453" s="41"/>
      <c r="AF453" s="41"/>
      <c r="AG453" s="44"/>
      <c r="AH453" s="44"/>
      <c r="AI453" s="44"/>
    </row>
    <row r="454" spans="10:35" x14ac:dyDescent="0.2">
      <c r="J454" s="41"/>
      <c r="K454" s="41"/>
      <c r="L454" s="41"/>
      <c r="M454" s="41"/>
      <c r="N454" s="41"/>
      <c r="O454" s="44"/>
      <c r="P454" s="44"/>
      <c r="Q454" s="44"/>
      <c r="S454" s="41"/>
      <c r="T454" s="41"/>
      <c r="U454" s="41"/>
      <c r="V454" s="41"/>
      <c r="X454" s="44"/>
      <c r="Y454" s="44"/>
      <c r="Z454" s="44"/>
      <c r="AB454" s="41"/>
      <c r="AC454" s="41"/>
      <c r="AD454" s="41"/>
      <c r="AE454" s="41"/>
      <c r="AF454" s="41"/>
      <c r="AG454" s="44"/>
      <c r="AH454" s="44"/>
      <c r="AI454" s="44"/>
    </row>
    <row r="455" spans="10:35" x14ac:dyDescent="0.2">
      <c r="J455" s="41"/>
      <c r="K455" s="41"/>
      <c r="L455" s="41"/>
      <c r="M455" s="41"/>
      <c r="N455" s="41"/>
      <c r="O455" s="44"/>
      <c r="P455" s="44"/>
      <c r="Q455" s="44"/>
      <c r="S455" s="41"/>
      <c r="T455" s="41"/>
      <c r="U455" s="41"/>
      <c r="V455" s="41"/>
      <c r="X455" s="44"/>
      <c r="Y455" s="44"/>
      <c r="Z455" s="44"/>
      <c r="AB455" s="41"/>
      <c r="AC455" s="41"/>
      <c r="AD455" s="41"/>
      <c r="AE455" s="41"/>
      <c r="AF455" s="41"/>
      <c r="AG455" s="44"/>
      <c r="AH455" s="44"/>
      <c r="AI455" s="44"/>
    </row>
    <row r="456" spans="10:35" x14ac:dyDescent="0.2">
      <c r="J456" s="41"/>
      <c r="K456" s="41"/>
      <c r="L456" s="41"/>
      <c r="M456" s="41"/>
      <c r="N456" s="41"/>
      <c r="O456" s="44"/>
      <c r="P456" s="44"/>
      <c r="Q456" s="44"/>
      <c r="S456" s="41"/>
      <c r="T456" s="41"/>
      <c r="U456" s="41"/>
      <c r="V456" s="41"/>
      <c r="X456" s="44"/>
      <c r="Y456" s="44"/>
      <c r="Z456" s="44"/>
      <c r="AB456" s="41"/>
      <c r="AC456" s="41"/>
      <c r="AD456" s="41"/>
      <c r="AE456" s="41"/>
      <c r="AF456" s="41"/>
      <c r="AG456" s="44"/>
      <c r="AH456" s="44"/>
      <c r="AI456" s="44"/>
    </row>
    <row r="457" spans="10:35" x14ac:dyDescent="0.2">
      <c r="J457" s="41"/>
      <c r="K457" s="41"/>
      <c r="L457" s="41"/>
      <c r="M457" s="41"/>
      <c r="N457" s="41"/>
      <c r="O457" s="44"/>
      <c r="P457" s="44"/>
      <c r="Q457" s="44"/>
      <c r="S457" s="41"/>
      <c r="T457" s="41"/>
      <c r="U457" s="41"/>
      <c r="V457" s="41"/>
      <c r="X457" s="44"/>
      <c r="Y457" s="44"/>
      <c r="Z457" s="44"/>
      <c r="AB457" s="41"/>
      <c r="AC457" s="41"/>
      <c r="AD457" s="41"/>
      <c r="AE457" s="41"/>
      <c r="AF457" s="41"/>
      <c r="AG457" s="44"/>
      <c r="AH457" s="44"/>
      <c r="AI457" s="44"/>
    </row>
    <row r="458" spans="10:35" x14ac:dyDescent="0.2">
      <c r="J458" s="41"/>
      <c r="K458" s="41"/>
      <c r="L458" s="41"/>
      <c r="M458" s="41"/>
      <c r="N458" s="41"/>
      <c r="O458" s="44"/>
      <c r="P458" s="44"/>
      <c r="Q458" s="44"/>
      <c r="S458" s="41"/>
      <c r="T458" s="41"/>
      <c r="U458" s="41"/>
      <c r="V458" s="41"/>
      <c r="X458" s="44"/>
      <c r="Y458" s="44"/>
      <c r="Z458" s="44"/>
      <c r="AB458" s="41"/>
      <c r="AC458" s="41"/>
      <c r="AD458" s="41"/>
      <c r="AE458" s="41"/>
      <c r="AF458" s="41"/>
      <c r="AG458" s="44"/>
      <c r="AH458" s="44"/>
      <c r="AI458" s="44"/>
    </row>
    <row r="459" spans="10:35" x14ac:dyDescent="0.2">
      <c r="J459" s="41"/>
      <c r="K459" s="41"/>
      <c r="L459" s="41"/>
      <c r="M459" s="41"/>
      <c r="N459" s="41"/>
      <c r="O459" s="44"/>
      <c r="P459" s="44"/>
      <c r="Q459" s="44"/>
      <c r="S459" s="41"/>
      <c r="T459" s="41"/>
      <c r="U459" s="41"/>
      <c r="V459" s="41"/>
      <c r="X459" s="44"/>
      <c r="Y459" s="44"/>
      <c r="Z459" s="44"/>
      <c r="AB459" s="41"/>
      <c r="AC459" s="41"/>
      <c r="AD459" s="41"/>
      <c r="AE459" s="41"/>
      <c r="AF459" s="41"/>
      <c r="AG459" s="44"/>
      <c r="AH459" s="44"/>
      <c r="AI459" s="44"/>
    </row>
    <row r="460" spans="10:35" x14ac:dyDescent="0.2">
      <c r="J460" s="41"/>
      <c r="K460" s="41"/>
      <c r="L460" s="41"/>
      <c r="M460" s="41"/>
      <c r="N460" s="41"/>
      <c r="O460" s="44"/>
      <c r="P460" s="44"/>
      <c r="Q460" s="44"/>
      <c r="S460" s="41"/>
      <c r="T460" s="41"/>
      <c r="U460" s="41"/>
      <c r="V460" s="41"/>
      <c r="X460" s="44"/>
      <c r="Y460" s="44"/>
      <c r="Z460" s="44"/>
      <c r="AB460" s="41"/>
      <c r="AC460" s="41"/>
      <c r="AD460" s="41"/>
      <c r="AE460" s="41"/>
      <c r="AF460" s="41"/>
      <c r="AG460" s="44"/>
      <c r="AH460" s="44"/>
      <c r="AI460" s="44"/>
    </row>
    <row r="461" spans="10:35" x14ac:dyDescent="0.2">
      <c r="J461" s="41"/>
      <c r="K461" s="41"/>
      <c r="L461" s="41"/>
      <c r="M461" s="41"/>
      <c r="N461" s="41"/>
      <c r="O461" s="44"/>
      <c r="P461" s="44"/>
      <c r="Q461" s="44"/>
      <c r="S461" s="41"/>
      <c r="T461" s="41"/>
      <c r="U461" s="41"/>
      <c r="V461" s="41"/>
      <c r="X461" s="44"/>
      <c r="Y461" s="44"/>
      <c r="Z461" s="44"/>
      <c r="AB461" s="41"/>
      <c r="AC461" s="41"/>
      <c r="AD461" s="41"/>
      <c r="AE461" s="41"/>
      <c r="AF461" s="41"/>
      <c r="AG461" s="44"/>
      <c r="AH461" s="44"/>
      <c r="AI461" s="44"/>
    </row>
    <row r="462" spans="10:35" x14ac:dyDescent="0.2">
      <c r="J462" s="41"/>
      <c r="K462" s="41"/>
      <c r="L462" s="41"/>
      <c r="M462" s="41"/>
      <c r="N462" s="41"/>
      <c r="O462" s="44"/>
      <c r="P462" s="44"/>
      <c r="Q462" s="44"/>
      <c r="S462" s="41"/>
      <c r="T462" s="41"/>
      <c r="U462" s="41"/>
      <c r="V462" s="41"/>
      <c r="X462" s="44"/>
      <c r="Y462" s="44"/>
      <c r="Z462" s="44"/>
      <c r="AB462" s="41"/>
      <c r="AC462" s="41"/>
      <c r="AD462" s="41"/>
      <c r="AE462" s="41"/>
      <c r="AF462" s="41"/>
      <c r="AG462" s="44"/>
      <c r="AH462" s="44"/>
      <c r="AI462" s="44"/>
    </row>
    <row r="463" spans="10:35" x14ac:dyDescent="0.2">
      <c r="J463" s="41"/>
      <c r="K463" s="41"/>
      <c r="L463" s="41"/>
      <c r="M463" s="41"/>
      <c r="N463" s="41"/>
      <c r="O463" s="44"/>
      <c r="P463" s="44"/>
      <c r="Q463" s="44"/>
      <c r="S463" s="41"/>
      <c r="T463" s="41"/>
      <c r="U463" s="41"/>
      <c r="V463" s="41"/>
      <c r="X463" s="44"/>
      <c r="Y463" s="44"/>
      <c r="Z463" s="44"/>
      <c r="AB463" s="41"/>
      <c r="AC463" s="41"/>
      <c r="AD463" s="41"/>
      <c r="AE463" s="41"/>
      <c r="AF463" s="41"/>
      <c r="AG463" s="44"/>
      <c r="AH463" s="44"/>
      <c r="AI463" s="44"/>
    </row>
    <row r="464" spans="10:35" x14ac:dyDescent="0.2">
      <c r="J464" s="41"/>
      <c r="K464" s="41"/>
      <c r="L464" s="41"/>
      <c r="M464" s="41"/>
      <c r="N464" s="41"/>
      <c r="O464" s="44"/>
      <c r="P464" s="44"/>
      <c r="Q464" s="44"/>
      <c r="S464" s="41"/>
      <c r="T464" s="41"/>
      <c r="U464" s="41"/>
      <c r="V464" s="41"/>
      <c r="X464" s="44"/>
      <c r="Y464" s="44"/>
      <c r="Z464" s="44"/>
      <c r="AB464" s="41"/>
      <c r="AC464" s="41"/>
      <c r="AD464" s="41"/>
      <c r="AE464" s="41"/>
      <c r="AF464" s="41"/>
      <c r="AG464" s="44"/>
      <c r="AH464" s="44"/>
      <c r="AI464" s="44"/>
    </row>
    <row r="465" spans="10:35" x14ac:dyDescent="0.2">
      <c r="J465" s="41"/>
      <c r="K465" s="41"/>
      <c r="L465" s="41"/>
      <c r="M465" s="41"/>
      <c r="N465" s="41"/>
      <c r="O465" s="44"/>
      <c r="P465" s="44"/>
      <c r="Q465" s="44"/>
      <c r="S465" s="41"/>
      <c r="T465" s="41"/>
      <c r="U465" s="41"/>
      <c r="V465" s="41"/>
      <c r="X465" s="44"/>
      <c r="Y465" s="44"/>
      <c r="Z465" s="44"/>
      <c r="AB465" s="41"/>
      <c r="AC465" s="41"/>
      <c r="AD465" s="41"/>
      <c r="AE465" s="41"/>
      <c r="AF465" s="41"/>
      <c r="AG465" s="44"/>
      <c r="AH465" s="44"/>
      <c r="AI465" s="44"/>
    </row>
    <row r="466" spans="10:35" x14ac:dyDescent="0.2">
      <c r="J466" s="41"/>
      <c r="K466" s="41"/>
      <c r="L466" s="41"/>
      <c r="M466" s="41"/>
      <c r="N466" s="41"/>
      <c r="O466" s="44"/>
      <c r="P466" s="44"/>
      <c r="Q466" s="44"/>
      <c r="S466" s="41"/>
      <c r="T466" s="41"/>
      <c r="U466" s="41"/>
      <c r="V466" s="41"/>
      <c r="X466" s="44"/>
      <c r="Y466" s="44"/>
      <c r="Z466" s="44"/>
      <c r="AB466" s="41"/>
      <c r="AC466" s="41"/>
      <c r="AD466" s="41"/>
      <c r="AE466" s="41"/>
      <c r="AF466" s="41"/>
      <c r="AG466" s="44"/>
      <c r="AH466" s="44"/>
      <c r="AI466" s="44"/>
    </row>
    <row r="467" spans="10:35" x14ac:dyDescent="0.2">
      <c r="J467" s="41"/>
      <c r="K467" s="41"/>
      <c r="L467" s="41"/>
      <c r="M467" s="41"/>
      <c r="N467" s="41"/>
      <c r="O467" s="44"/>
      <c r="P467" s="44"/>
      <c r="Q467" s="44"/>
      <c r="S467" s="41"/>
      <c r="T467" s="41"/>
      <c r="U467" s="41"/>
      <c r="V467" s="41"/>
      <c r="X467" s="44"/>
      <c r="Y467" s="44"/>
      <c r="Z467" s="44"/>
      <c r="AB467" s="41"/>
      <c r="AC467" s="41"/>
      <c r="AD467" s="41"/>
      <c r="AE467" s="41"/>
      <c r="AF467" s="41"/>
      <c r="AG467" s="44"/>
      <c r="AH467" s="44"/>
      <c r="AI467" s="44"/>
    </row>
    <row r="468" spans="10:35" x14ac:dyDescent="0.2">
      <c r="J468" s="41"/>
      <c r="K468" s="41"/>
      <c r="L468" s="41"/>
      <c r="M468" s="41"/>
      <c r="N468" s="41"/>
      <c r="O468" s="44"/>
      <c r="P468" s="44"/>
      <c r="Q468" s="44"/>
      <c r="S468" s="41"/>
      <c r="T468" s="41"/>
      <c r="U468" s="41"/>
      <c r="V468" s="41"/>
      <c r="X468" s="44"/>
      <c r="Y468" s="44"/>
      <c r="Z468" s="44"/>
      <c r="AB468" s="41"/>
      <c r="AC468" s="41"/>
      <c r="AD468" s="41"/>
      <c r="AE468" s="41"/>
      <c r="AF468" s="41"/>
      <c r="AG468" s="44"/>
      <c r="AH468" s="44"/>
      <c r="AI468" s="44"/>
    </row>
    <row r="469" spans="10:35" x14ac:dyDescent="0.2">
      <c r="J469" s="41"/>
      <c r="K469" s="41"/>
      <c r="L469" s="41"/>
      <c r="M469" s="41"/>
      <c r="N469" s="41"/>
      <c r="O469" s="44"/>
      <c r="P469" s="44"/>
      <c r="Q469" s="44"/>
      <c r="S469" s="41"/>
      <c r="T469" s="41"/>
      <c r="U469" s="41"/>
      <c r="V469" s="41"/>
      <c r="X469" s="44"/>
      <c r="Y469" s="44"/>
      <c r="Z469" s="44"/>
      <c r="AB469" s="41"/>
      <c r="AC469" s="41"/>
      <c r="AD469" s="41"/>
      <c r="AE469" s="41"/>
      <c r="AF469" s="41"/>
      <c r="AG469" s="44"/>
      <c r="AH469" s="44"/>
      <c r="AI469" s="44"/>
    </row>
    <row r="470" spans="10:35" x14ac:dyDescent="0.2">
      <c r="J470" s="41"/>
      <c r="K470" s="41"/>
      <c r="L470" s="41"/>
      <c r="M470" s="41"/>
      <c r="N470" s="41"/>
      <c r="O470" s="44"/>
      <c r="P470" s="44"/>
      <c r="Q470" s="44"/>
      <c r="S470" s="41"/>
      <c r="T470" s="41"/>
      <c r="U470" s="41"/>
      <c r="V470" s="41"/>
      <c r="X470" s="44"/>
      <c r="Y470" s="44"/>
      <c r="Z470" s="44"/>
      <c r="AB470" s="41"/>
      <c r="AC470" s="41"/>
      <c r="AD470" s="41"/>
      <c r="AE470" s="41"/>
      <c r="AF470" s="41"/>
      <c r="AG470" s="44"/>
      <c r="AH470" s="44"/>
      <c r="AI470" s="44"/>
    </row>
    <row r="471" spans="10:35" x14ac:dyDescent="0.2">
      <c r="J471" s="41"/>
      <c r="K471" s="41"/>
      <c r="L471" s="41"/>
      <c r="M471" s="41"/>
      <c r="N471" s="41"/>
      <c r="O471" s="44"/>
      <c r="P471" s="44"/>
      <c r="Q471" s="44"/>
      <c r="S471" s="41"/>
      <c r="T471" s="41"/>
      <c r="U471" s="41"/>
      <c r="V471" s="41"/>
      <c r="X471" s="44"/>
      <c r="Y471" s="44"/>
      <c r="Z471" s="44"/>
      <c r="AB471" s="41"/>
      <c r="AC471" s="41"/>
      <c r="AD471" s="41"/>
      <c r="AE471" s="41"/>
      <c r="AF471" s="41"/>
      <c r="AG471" s="44"/>
      <c r="AH471" s="44"/>
      <c r="AI471" s="44"/>
    </row>
    <row r="472" spans="10:35" x14ac:dyDescent="0.2">
      <c r="J472" s="41"/>
      <c r="K472" s="41"/>
      <c r="L472" s="41"/>
      <c r="M472" s="41"/>
      <c r="N472" s="41"/>
      <c r="O472" s="44"/>
      <c r="P472" s="44"/>
      <c r="Q472" s="44"/>
      <c r="S472" s="41"/>
      <c r="T472" s="41"/>
      <c r="U472" s="41"/>
      <c r="V472" s="41"/>
      <c r="X472" s="44"/>
      <c r="Y472" s="44"/>
      <c r="Z472" s="44"/>
      <c r="AB472" s="41"/>
      <c r="AC472" s="41"/>
      <c r="AD472" s="41"/>
      <c r="AE472" s="41"/>
      <c r="AF472" s="41"/>
      <c r="AG472" s="44"/>
      <c r="AH472" s="44"/>
      <c r="AI472" s="44"/>
    </row>
    <row r="473" spans="10:35" x14ac:dyDescent="0.2">
      <c r="J473" s="41"/>
      <c r="K473" s="41"/>
      <c r="L473" s="41"/>
      <c r="M473" s="41"/>
      <c r="N473" s="41"/>
      <c r="O473" s="44"/>
      <c r="P473" s="44"/>
      <c r="Q473" s="44"/>
      <c r="S473" s="41"/>
      <c r="T473" s="41"/>
      <c r="U473" s="41"/>
      <c r="V473" s="41"/>
      <c r="X473" s="44"/>
      <c r="Y473" s="44"/>
      <c r="Z473" s="44"/>
      <c r="AB473" s="41"/>
      <c r="AC473" s="41"/>
      <c r="AD473" s="41"/>
      <c r="AE473" s="41"/>
      <c r="AF473" s="41"/>
      <c r="AG473" s="44"/>
      <c r="AH473" s="44"/>
      <c r="AI473" s="44"/>
    </row>
    <row r="474" spans="10:35" x14ac:dyDescent="0.2">
      <c r="J474" s="41"/>
      <c r="K474" s="41"/>
      <c r="L474" s="41"/>
      <c r="M474" s="41"/>
      <c r="N474" s="41"/>
      <c r="O474" s="44"/>
      <c r="P474" s="44"/>
      <c r="Q474" s="44"/>
      <c r="S474" s="41"/>
      <c r="T474" s="41"/>
      <c r="U474" s="41"/>
      <c r="V474" s="41"/>
      <c r="X474" s="44"/>
      <c r="Y474" s="44"/>
      <c r="Z474" s="44"/>
      <c r="AB474" s="41"/>
      <c r="AC474" s="41"/>
      <c r="AD474" s="41"/>
      <c r="AE474" s="41"/>
      <c r="AF474" s="41"/>
      <c r="AG474" s="44"/>
      <c r="AH474" s="44"/>
      <c r="AI474" s="44"/>
    </row>
    <row r="475" spans="10:35" x14ac:dyDescent="0.2">
      <c r="J475" s="41"/>
      <c r="K475" s="41"/>
      <c r="L475" s="41"/>
      <c r="M475" s="41"/>
      <c r="N475" s="41"/>
      <c r="O475" s="44"/>
      <c r="P475" s="44"/>
      <c r="Q475" s="44"/>
      <c r="S475" s="41"/>
      <c r="T475" s="41"/>
      <c r="U475" s="41"/>
      <c r="V475" s="41"/>
      <c r="X475" s="44"/>
      <c r="Y475" s="44"/>
      <c r="Z475" s="44"/>
      <c r="AB475" s="41"/>
      <c r="AC475" s="41"/>
      <c r="AD475" s="41"/>
      <c r="AE475" s="41"/>
      <c r="AF475" s="41"/>
      <c r="AG475" s="44"/>
      <c r="AH475" s="44"/>
      <c r="AI475" s="44"/>
    </row>
    <row r="476" spans="10:35" x14ac:dyDescent="0.2">
      <c r="J476" s="41"/>
      <c r="K476" s="41"/>
      <c r="L476" s="41"/>
      <c r="M476" s="41"/>
      <c r="N476" s="41"/>
      <c r="O476" s="44"/>
      <c r="P476" s="44"/>
      <c r="Q476" s="44"/>
      <c r="S476" s="41"/>
      <c r="T476" s="41"/>
      <c r="U476" s="41"/>
      <c r="V476" s="41"/>
      <c r="X476" s="44"/>
      <c r="Y476" s="44"/>
      <c r="Z476" s="44"/>
      <c r="AB476" s="41"/>
      <c r="AC476" s="41"/>
      <c r="AD476" s="41"/>
      <c r="AE476" s="41"/>
      <c r="AF476" s="41"/>
      <c r="AG476" s="44"/>
      <c r="AH476" s="44"/>
      <c r="AI476" s="44"/>
    </row>
    <row r="477" spans="10:35" x14ac:dyDescent="0.2">
      <c r="J477" s="41"/>
      <c r="K477" s="41"/>
      <c r="L477" s="41"/>
      <c r="M477" s="41"/>
      <c r="N477" s="41"/>
      <c r="O477" s="44"/>
      <c r="P477" s="44"/>
      <c r="Q477" s="44"/>
      <c r="S477" s="41"/>
      <c r="T477" s="41"/>
      <c r="U477" s="41"/>
      <c r="V477" s="41"/>
      <c r="X477" s="44"/>
      <c r="Y477" s="44"/>
      <c r="Z477" s="44"/>
      <c r="AB477" s="41"/>
      <c r="AC477" s="41"/>
      <c r="AD477" s="41"/>
      <c r="AE477" s="41"/>
      <c r="AF477" s="41"/>
      <c r="AG477" s="44"/>
      <c r="AH477" s="44"/>
      <c r="AI477" s="44"/>
    </row>
    <row r="478" spans="10:35" x14ac:dyDescent="0.2">
      <c r="J478" s="41"/>
      <c r="K478" s="41"/>
      <c r="L478" s="41"/>
      <c r="M478" s="41"/>
      <c r="N478" s="41"/>
      <c r="O478" s="44"/>
      <c r="P478" s="44"/>
      <c r="Q478" s="44"/>
      <c r="S478" s="41"/>
      <c r="T478" s="41"/>
      <c r="U478" s="41"/>
      <c r="V478" s="41"/>
      <c r="X478" s="44"/>
      <c r="Y478" s="44"/>
      <c r="Z478" s="44"/>
      <c r="AB478" s="41"/>
      <c r="AC478" s="41"/>
      <c r="AD478" s="41"/>
      <c r="AE478" s="41"/>
      <c r="AF478" s="41"/>
      <c r="AG478" s="44"/>
      <c r="AH478" s="44"/>
      <c r="AI478" s="44"/>
    </row>
    <row r="479" spans="10:35" x14ac:dyDescent="0.2">
      <c r="J479" s="41"/>
      <c r="K479" s="41"/>
      <c r="L479" s="41"/>
      <c r="M479" s="41"/>
      <c r="N479" s="41"/>
      <c r="O479" s="44"/>
      <c r="P479" s="44"/>
      <c r="Q479" s="44"/>
      <c r="S479" s="41"/>
      <c r="T479" s="41"/>
      <c r="U479" s="41"/>
      <c r="V479" s="41"/>
      <c r="X479" s="44"/>
      <c r="Y479" s="44"/>
      <c r="Z479" s="44"/>
      <c r="AB479" s="41"/>
      <c r="AC479" s="41"/>
      <c r="AD479" s="41"/>
      <c r="AE479" s="41"/>
      <c r="AF479" s="41"/>
      <c r="AG479" s="44"/>
      <c r="AH479" s="44"/>
      <c r="AI479" s="44"/>
    </row>
    <row r="480" spans="10:35" x14ac:dyDescent="0.2">
      <c r="J480" s="41"/>
      <c r="K480" s="41"/>
      <c r="L480" s="41"/>
      <c r="M480" s="41"/>
      <c r="N480" s="41"/>
      <c r="O480" s="44"/>
      <c r="P480" s="44"/>
      <c r="Q480" s="44"/>
      <c r="S480" s="41"/>
      <c r="T480" s="41"/>
      <c r="U480" s="41"/>
      <c r="V480" s="41"/>
      <c r="X480" s="44"/>
      <c r="Y480" s="44"/>
      <c r="Z480" s="44"/>
      <c r="AB480" s="41"/>
      <c r="AC480" s="41"/>
      <c r="AD480" s="41"/>
      <c r="AE480" s="41"/>
      <c r="AF480" s="41"/>
      <c r="AG480" s="44"/>
      <c r="AH480" s="44"/>
      <c r="AI480" s="44"/>
    </row>
    <row r="481" spans="10:35" x14ac:dyDescent="0.2">
      <c r="J481" s="41"/>
      <c r="K481" s="41"/>
      <c r="L481" s="41"/>
      <c r="M481" s="41"/>
      <c r="N481" s="41"/>
      <c r="O481" s="44"/>
      <c r="P481" s="44"/>
      <c r="Q481" s="44"/>
      <c r="S481" s="41"/>
      <c r="T481" s="41"/>
      <c r="U481" s="41"/>
      <c r="V481" s="41"/>
      <c r="X481" s="44"/>
      <c r="Y481" s="44"/>
      <c r="Z481" s="44"/>
      <c r="AB481" s="41"/>
      <c r="AC481" s="41"/>
      <c r="AD481" s="41"/>
      <c r="AE481" s="41"/>
      <c r="AF481" s="41"/>
      <c r="AG481" s="44"/>
      <c r="AH481" s="44"/>
      <c r="AI481" s="44"/>
    </row>
    <row r="482" spans="10:35" x14ac:dyDescent="0.2">
      <c r="J482" s="41"/>
      <c r="K482" s="41"/>
      <c r="L482" s="41"/>
      <c r="M482" s="41"/>
      <c r="N482" s="41"/>
      <c r="O482" s="44"/>
      <c r="P482" s="44"/>
      <c r="Q482" s="44"/>
      <c r="S482" s="41"/>
      <c r="T482" s="41"/>
      <c r="U482" s="41"/>
      <c r="V482" s="41"/>
      <c r="X482" s="44"/>
      <c r="Y482" s="44"/>
      <c r="Z482" s="44"/>
      <c r="AB482" s="41"/>
      <c r="AC482" s="41"/>
      <c r="AD482" s="41"/>
      <c r="AE482" s="41"/>
      <c r="AF482" s="41"/>
      <c r="AG482" s="44"/>
      <c r="AH482" s="44"/>
      <c r="AI482" s="44"/>
    </row>
    <row r="483" spans="10:35" x14ac:dyDescent="0.2">
      <c r="J483" s="41"/>
      <c r="K483" s="41"/>
      <c r="L483" s="41"/>
      <c r="M483" s="41"/>
      <c r="N483" s="41"/>
      <c r="O483" s="44"/>
      <c r="P483" s="44"/>
      <c r="Q483" s="44"/>
      <c r="S483" s="41"/>
      <c r="T483" s="41"/>
      <c r="U483" s="41"/>
      <c r="V483" s="41"/>
      <c r="X483" s="44"/>
      <c r="Y483" s="44"/>
      <c r="Z483" s="44"/>
      <c r="AB483" s="41"/>
      <c r="AC483" s="41"/>
      <c r="AD483" s="41"/>
      <c r="AE483" s="41"/>
      <c r="AF483" s="41"/>
      <c r="AG483" s="44"/>
      <c r="AH483" s="44"/>
      <c r="AI483" s="44"/>
    </row>
    <row r="484" spans="10:35" x14ac:dyDescent="0.2">
      <c r="J484" s="41"/>
      <c r="K484" s="41"/>
      <c r="L484" s="41"/>
      <c r="M484" s="41"/>
      <c r="N484" s="41"/>
      <c r="O484" s="44"/>
      <c r="P484" s="44"/>
      <c r="Q484" s="44"/>
      <c r="S484" s="41"/>
      <c r="T484" s="41"/>
      <c r="U484" s="41"/>
      <c r="V484" s="41"/>
      <c r="X484" s="44"/>
      <c r="Y484" s="44"/>
      <c r="Z484" s="44"/>
      <c r="AB484" s="41"/>
      <c r="AC484" s="41"/>
      <c r="AD484" s="41"/>
      <c r="AE484" s="41"/>
      <c r="AF484" s="41"/>
      <c r="AG484" s="44"/>
      <c r="AH484" s="44"/>
      <c r="AI484" s="44"/>
    </row>
    <row r="485" spans="10:35" x14ac:dyDescent="0.2">
      <c r="J485" s="41"/>
      <c r="K485" s="41"/>
      <c r="L485" s="41"/>
      <c r="M485" s="41"/>
      <c r="N485" s="41"/>
      <c r="O485" s="44"/>
      <c r="P485" s="44"/>
      <c r="Q485" s="44"/>
      <c r="S485" s="41"/>
      <c r="T485" s="41"/>
      <c r="U485" s="41"/>
      <c r="V485" s="41"/>
      <c r="X485" s="44"/>
      <c r="Y485" s="44"/>
      <c r="Z485" s="44"/>
      <c r="AB485" s="41"/>
      <c r="AC485" s="41"/>
      <c r="AD485" s="41"/>
      <c r="AE485" s="41"/>
      <c r="AF485" s="41"/>
      <c r="AG485" s="44"/>
      <c r="AH485" s="44"/>
      <c r="AI485" s="44"/>
    </row>
    <row r="486" spans="10:35" x14ac:dyDescent="0.2">
      <c r="J486" s="41"/>
      <c r="K486" s="41"/>
      <c r="L486" s="41"/>
      <c r="M486" s="41"/>
      <c r="N486" s="41"/>
      <c r="O486" s="44"/>
      <c r="P486" s="44"/>
      <c r="Q486" s="44"/>
      <c r="S486" s="41"/>
      <c r="T486" s="41"/>
      <c r="U486" s="41"/>
      <c r="V486" s="41"/>
      <c r="X486" s="44"/>
      <c r="Y486" s="44"/>
      <c r="Z486" s="44"/>
      <c r="AB486" s="41"/>
      <c r="AC486" s="41"/>
      <c r="AD486" s="41"/>
      <c r="AE486" s="41"/>
      <c r="AF486" s="41"/>
      <c r="AG486" s="44"/>
      <c r="AH486" s="44"/>
      <c r="AI486" s="44"/>
    </row>
    <row r="487" spans="10:35" x14ac:dyDescent="0.2">
      <c r="J487" s="41"/>
      <c r="K487" s="41"/>
      <c r="L487" s="41"/>
      <c r="M487" s="41"/>
      <c r="N487" s="41"/>
      <c r="O487" s="44"/>
      <c r="P487" s="44"/>
      <c r="Q487" s="44"/>
      <c r="S487" s="41"/>
      <c r="T487" s="41"/>
      <c r="U487" s="41"/>
      <c r="V487" s="41"/>
      <c r="X487" s="44"/>
      <c r="Y487" s="44"/>
      <c r="Z487" s="44"/>
      <c r="AB487" s="41"/>
      <c r="AC487" s="41"/>
      <c r="AD487" s="41"/>
      <c r="AE487" s="41"/>
      <c r="AF487" s="41"/>
      <c r="AG487" s="44"/>
      <c r="AH487" s="44"/>
      <c r="AI487" s="44"/>
    </row>
    <row r="488" spans="10:35" x14ac:dyDescent="0.2">
      <c r="J488" s="41"/>
      <c r="K488" s="41"/>
      <c r="L488" s="41"/>
      <c r="M488" s="41"/>
      <c r="N488" s="41"/>
      <c r="O488" s="44"/>
      <c r="P488" s="44"/>
      <c r="Q488" s="44"/>
      <c r="S488" s="41"/>
      <c r="T488" s="41"/>
      <c r="U488" s="41"/>
      <c r="V488" s="41"/>
      <c r="X488" s="44"/>
      <c r="Y488" s="44"/>
      <c r="Z488" s="44"/>
      <c r="AB488" s="41"/>
      <c r="AC488" s="41"/>
      <c r="AD488" s="41"/>
      <c r="AE488" s="41"/>
      <c r="AF488" s="41"/>
      <c r="AG488" s="44"/>
      <c r="AH488" s="44"/>
      <c r="AI488" s="44"/>
    </row>
    <row r="489" spans="10:35" x14ac:dyDescent="0.2">
      <c r="J489" s="41"/>
      <c r="K489" s="41"/>
      <c r="L489" s="41"/>
      <c r="M489" s="41"/>
      <c r="N489" s="41"/>
      <c r="O489" s="44"/>
      <c r="P489" s="44"/>
      <c r="Q489" s="44"/>
      <c r="S489" s="41"/>
      <c r="T489" s="41"/>
      <c r="U489" s="41"/>
      <c r="V489" s="41"/>
      <c r="X489" s="44"/>
      <c r="Y489" s="44"/>
      <c r="Z489" s="44"/>
      <c r="AB489" s="41"/>
      <c r="AC489" s="41"/>
      <c r="AD489" s="41"/>
      <c r="AE489" s="41"/>
      <c r="AF489" s="41"/>
      <c r="AG489" s="44"/>
      <c r="AH489" s="44"/>
      <c r="AI489" s="44"/>
    </row>
    <row r="490" spans="10:35" x14ac:dyDescent="0.2">
      <c r="J490" s="41"/>
      <c r="K490" s="41"/>
      <c r="L490" s="41"/>
      <c r="M490" s="41"/>
      <c r="N490" s="41"/>
      <c r="O490" s="44"/>
      <c r="P490" s="44"/>
      <c r="Q490" s="44"/>
      <c r="S490" s="41"/>
      <c r="T490" s="41"/>
      <c r="U490" s="41"/>
      <c r="V490" s="41"/>
      <c r="X490" s="44"/>
      <c r="Y490" s="44"/>
      <c r="Z490" s="44"/>
      <c r="AB490" s="41"/>
      <c r="AC490" s="41"/>
      <c r="AD490" s="41"/>
      <c r="AE490" s="41"/>
      <c r="AF490" s="41"/>
      <c r="AG490" s="44"/>
      <c r="AH490" s="44"/>
      <c r="AI490" s="44"/>
    </row>
    <row r="491" spans="10:35" x14ac:dyDescent="0.2">
      <c r="J491" s="41"/>
      <c r="K491" s="41"/>
      <c r="L491" s="41"/>
      <c r="M491" s="41"/>
      <c r="N491" s="41"/>
      <c r="O491" s="44"/>
      <c r="P491" s="44"/>
      <c r="Q491" s="44"/>
      <c r="S491" s="41"/>
      <c r="T491" s="41"/>
      <c r="U491" s="41"/>
      <c r="V491" s="41"/>
      <c r="X491" s="44"/>
      <c r="Y491" s="44"/>
      <c r="Z491" s="44"/>
      <c r="AB491" s="41"/>
      <c r="AC491" s="41"/>
      <c r="AD491" s="41"/>
      <c r="AE491" s="41"/>
      <c r="AF491" s="41"/>
      <c r="AG491" s="44"/>
      <c r="AH491" s="44"/>
      <c r="AI491" s="44"/>
    </row>
    <row r="492" spans="10:35" x14ac:dyDescent="0.2">
      <c r="J492" s="41"/>
      <c r="K492" s="41"/>
      <c r="L492" s="41"/>
      <c r="M492" s="41"/>
      <c r="N492" s="41"/>
      <c r="O492" s="44"/>
      <c r="P492" s="44"/>
      <c r="Q492" s="44"/>
      <c r="S492" s="41"/>
      <c r="T492" s="41"/>
      <c r="U492" s="41"/>
      <c r="V492" s="41"/>
      <c r="X492" s="44"/>
      <c r="Y492" s="44"/>
      <c r="Z492" s="44"/>
      <c r="AB492" s="41"/>
      <c r="AC492" s="41"/>
      <c r="AD492" s="41"/>
      <c r="AE492" s="41"/>
      <c r="AF492" s="41"/>
      <c r="AG492" s="44"/>
      <c r="AH492" s="44"/>
      <c r="AI492" s="44"/>
    </row>
    <row r="493" spans="10:35" x14ac:dyDescent="0.2">
      <c r="J493" s="41"/>
      <c r="K493" s="41"/>
      <c r="L493" s="41"/>
      <c r="M493" s="41"/>
      <c r="N493" s="41"/>
      <c r="O493" s="44"/>
      <c r="P493" s="44"/>
      <c r="Q493" s="44"/>
      <c r="S493" s="41"/>
      <c r="T493" s="41"/>
      <c r="U493" s="41"/>
      <c r="V493" s="41"/>
      <c r="X493" s="44"/>
      <c r="Y493" s="44"/>
      <c r="Z493" s="44"/>
      <c r="AB493" s="41"/>
      <c r="AC493" s="41"/>
      <c r="AD493" s="41"/>
      <c r="AE493" s="41"/>
      <c r="AF493" s="41"/>
      <c r="AG493" s="44"/>
      <c r="AH493" s="44"/>
      <c r="AI493" s="44"/>
    </row>
    <row r="494" spans="10:35" x14ac:dyDescent="0.2">
      <c r="J494" s="41"/>
      <c r="K494" s="41"/>
      <c r="L494" s="41"/>
      <c r="M494" s="41"/>
      <c r="N494" s="41"/>
      <c r="O494" s="44"/>
      <c r="P494" s="44"/>
      <c r="Q494" s="44"/>
      <c r="S494" s="41"/>
      <c r="T494" s="41"/>
      <c r="U494" s="41"/>
      <c r="V494" s="41"/>
      <c r="X494" s="44"/>
      <c r="Y494" s="44"/>
      <c r="Z494" s="44"/>
      <c r="AB494" s="41"/>
      <c r="AC494" s="41"/>
      <c r="AD494" s="41"/>
      <c r="AE494" s="41"/>
      <c r="AF494" s="41"/>
      <c r="AG494" s="44"/>
      <c r="AH494" s="44"/>
      <c r="AI494" s="44"/>
    </row>
    <row r="495" spans="10:35" x14ac:dyDescent="0.2">
      <c r="J495" s="41"/>
      <c r="K495" s="41"/>
      <c r="L495" s="41"/>
      <c r="M495" s="41"/>
      <c r="N495" s="41"/>
      <c r="O495" s="44"/>
      <c r="P495" s="44"/>
      <c r="Q495" s="44"/>
      <c r="S495" s="41"/>
      <c r="T495" s="41"/>
      <c r="U495" s="41"/>
      <c r="V495" s="41"/>
      <c r="X495" s="44"/>
      <c r="Y495" s="44"/>
      <c r="Z495" s="44"/>
      <c r="AB495" s="41"/>
      <c r="AC495" s="41"/>
      <c r="AD495" s="41"/>
      <c r="AE495" s="41"/>
      <c r="AF495" s="41"/>
      <c r="AG495" s="44"/>
      <c r="AH495" s="44"/>
      <c r="AI495" s="44"/>
    </row>
    <row r="496" spans="10:35" x14ac:dyDescent="0.2">
      <c r="J496" s="41"/>
      <c r="K496" s="41"/>
      <c r="L496" s="41"/>
      <c r="M496" s="41"/>
      <c r="N496" s="41"/>
      <c r="O496" s="44"/>
      <c r="P496" s="44"/>
      <c r="Q496" s="44"/>
      <c r="S496" s="41"/>
      <c r="T496" s="41"/>
      <c r="U496" s="41"/>
      <c r="V496" s="41"/>
      <c r="X496" s="44"/>
      <c r="Y496" s="44"/>
      <c r="Z496" s="44"/>
      <c r="AB496" s="41"/>
      <c r="AC496" s="41"/>
      <c r="AD496" s="41"/>
      <c r="AE496" s="41"/>
      <c r="AF496" s="41"/>
      <c r="AG496" s="44"/>
      <c r="AH496" s="44"/>
      <c r="AI496" s="44"/>
    </row>
    <row r="497" spans="10:35" x14ac:dyDescent="0.2">
      <c r="J497" s="41"/>
      <c r="K497" s="41"/>
      <c r="L497" s="41"/>
      <c r="M497" s="41"/>
      <c r="N497" s="41"/>
      <c r="O497" s="44"/>
      <c r="P497" s="44"/>
      <c r="Q497" s="44"/>
      <c r="S497" s="41"/>
      <c r="T497" s="41"/>
      <c r="U497" s="41"/>
      <c r="V497" s="41"/>
      <c r="X497" s="44"/>
      <c r="Y497" s="44"/>
      <c r="Z497" s="44"/>
      <c r="AB497" s="41"/>
      <c r="AC497" s="41"/>
      <c r="AD497" s="41"/>
      <c r="AE497" s="41"/>
      <c r="AF497" s="41"/>
      <c r="AG497" s="44"/>
      <c r="AH497" s="44"/>
      <c r="AI497" s="44"/>
    </row>
    <row r="498" spans="10:35" x14ac:dyDescent="0.2">
      <c r="J498" s="41"/>
      <c r="K498" s="41"/>
      <c r="L498" s="41"/>
      <c r="M498" s="41"/>
      <c r="N498" s="41"/>
      <c r="O498" s="44"/>
      <c r="P498" s="44"/>
      <c r="Q498" s="44"/>
      <c r="S498" s="41"/>
      <c r="T498" s="41"/>
      <c r="U498" s="41"/>
      <c r="V498" s="41"/>
      <c r="X498" s="44"/>
      <c r="Y498" s="44"/>
      <c r="Z498" s="44"/>
      <c r="AB498" s="41"/>
      <c r="AC498" s="41"/>
      <c r="AD498" s="41"/>
      <c r="AE498" s="41"/>
      <c r="AF498" s="41"/>
      <c r="AG498" s="44"/>
      <c r="AH498" s="44"/>
      <c r="AI498" s="44"/>
    </row>
    <row r="499" spans="10:35" x14ac:dyDescent="0.2">
      <c r="J499" s="41"/>
      <c r="K499" s="41"/>
      <c r="L499" s="41"/>
      <c r="M499" s="41"/>
      <c r="N499" s="41"/>
      <c r="O499" s="44"/>
      <c r="P499" s="44"/>
      <c r="Q499" s="44"/>
      <c r="S499" s="41"/>
      <c r="T499" s="41"/>
      <c r="U499" s="41"/>
      <c r="V499" s="41"/>
      <c r="X499" s="44"/>
      <c r="Y499" s="44"/>
      <c r="Z499" s="44"/>
      <c r="AB499" s="41"/>
      <c r="AC499" s="41"/>
      <c r="AD499" s="41"/>
      <c r="AE499" s="41"/>
      <c r="AF499" s="41"/>
      <c r="AG499" s="44"/>
      <c r="AH499" s="44"/>
      <c r="AI499" s="44"/>
    </row>
    <row r="500" spans="10:35" x14ac:dyDescent="0.2">
      <c r="J500" s="41"/>
      <c r="K500" s="41"/>
      <c r="L500" s="41"/>
      <c r="M500" s="41"/>
      <c r="N500" s="41"/>
      <c r="O500" s="44"/>
      <c r="P500" s="44"/>
      <c r="Q500" s="44"/>
      <c r="S500" s="41"/>
      <c r="T500" s="41"/>
      <c r="U500" s="41"/>
      <c r="V500" s="41"/>
      <c r="X500" s="44"/>
      <c r="Y500" s="44"/>
      <c r="Z500" s="44"/>
      <c r="AB500" s="41"/>
      <c r="AC500" s="41"/>
      <c r="AD500" s="41"/>
      <c r="AE500" s="41"/>
      <c r="AF500" s="41"/>
      <c r="AG500" s="44"/>
      <c r="AH500" s="44"/>
      <c r="AI500" s="44"/>
    </row>
    <row r="501" spans="10:35" x14ac:dyDescent="0.2">
      <c r="J501" s="41"/>
      <c r="K501" s="41"/>
      <c r="L501" s="41"/>
      <c r="M501" s="41"/>
      <c r="N501" s="41"/>
      <c r="O501" s="44"/>
      <c r="P501" s="44"/>
      <c r="Q501" s="44"/>
      <c r="S501" s="41"/>
      <c r="T501" s="41"/>
      <c r="U501" s="41"/>
      <c r="V501" s="41"/>
      <c r="X501" s="44"/>
      <c r="Y501" s="44"/>
      <c r="Z501" s="44"/>
      <c r="AB501" s="41"/>
      <c r="AC501" s="41"/>
      <c r="AD501" s="41"/>
      <c r="AE501" s="41"/>
      <c r="AF501" s="41"/>
      <c r="AG501" s="44"/>
      <c r="AH501" s="44"/>
      <c r="AI501" s="44"/>
    </row>
    <row r="502" spans="10:35" x14ac:dyDescent="0.2">
      <c r="J502" s="41"/>
      <c r="K502" s="41"/>
      <c r="L502" s="41"/>
      <c r="M502" s="41"/>
      <c r="N502" s="41"/>
      <c r="O502" s="44"/>
      <c r="P502" s="44"/>
      <c r="Q502" s="44"/>
      <c r="S502" s="41"/>
      <c r="T502" s="41"/>
      <c r="U502" s="41"/>
      <c r="V502" s="41"/>
      <c r="X502" s="44"/>
      <c r="Y502" s="44"/>
      <c r="Z502" s="44"/>
      <c r="AB502" s="41"/>
      <c r="AC502" s="41"/>
      <c r="AD502" s="41"/>
      <c r="AE502" s="41"/>
      <c r="AF502" s="41"/>
      <c r="AG502" s="44"/>
      <c r="AH502" s="44"/>
      <c r="AI502" s="44"/>
    </row>
    <row r="503" spans="10:35" x14ac:dyDescent="0.2">
      <c r="J503" s="41"/>
      <c r="K503" s="41"/>
      <c r="L503" s="41"/>
      <c r="M503" s="41"/>
      <c r="N503" s="41"/>
      <c r="O503" s="44"/>
      <c r="P503" s="44"/>
      <c r="Q503" s="44"/>
      <c r="S503" s="41"/>
      <c r="T503" s="41"/>
      <c r="U503" s="41"/>
      <c r="V503" s="41"/>
      <c r="X503" s="44"/>
      <c r="Y503" s="44"/>
      <c r="Z503" s="44"/>
      <c r="AB503" s="41"/>
      <c r="AC503" s="41"/>
      <c r="AD503" s="41"/>
      <c r="AE503" s="41"/>
      <c r="AF503" s="41"/>
      <c r="AG503" s="44"/>
      <c r="AH503" s="44"/>
      <c r="AI503" s="44"/>
    </row>
    <row r="504" spans="10:35" x14ac:dyDescent="0.2">
      <c r="J504" s="41"/>
      <c r="K504" s="41"/>
      <c r="L504" s="41"/>
      <c r="M504" s="41"/>
      <c r="N504" s="41"/>
      <c r="O504" s="44"/>
      <c r="P504" s="44"/>
      <c r="Q504" s="44"/>
      <c r="S504" s="41"/>
      <c r="T504" s="41"/>
      <c r="U504" s="41"/>
      <c r="V504" s="41"/>
      <c r="X504" s="44"/>
      <c r="Y504" s="44"/>
      <c r="Z504" s="44"/>
      <c r="AB504" s="41"/>
      <c r="AC504" s="41"/>
      <c r="AD504" s="41"/>
      <c r="AE504" s="41"/>
      <c r="AF504" s="41"/>
      <c r="AG504" s="44"/>
      <c r="AH504" s="44"/>
      <c r="AI504" s="44"/>
    </row>
    <row r="505" spans="10:35" x14ac:dyDescent="0.2">
      <c r="J505" s="41"/>
      <c r="K505" s="41"/>
      <c r="L505" s="41"/>
      <c r="M505" s="41"/>
      <c r="N505" s="41"/>
      <c r="O505" s="44"/>
      <c r="P505" s="44"/>
      <c r="Q505" s="44"/>
      <c r="S505" s="41"/>
      <c r="T505" s="41"/>
      <c r="U505" s="41"/>
      <c r="V505" s="41"/>
      <c r="X505" s="44"/>
      <c r="Y505" s="44"/>
      <c r="Z505" s="44"/>
      <c r="AB505" s="41"/>
      <c r="AC505" s="41"/>
      <c r="AD505" s="41"/>
      <c r="AE505" s="41"/>
      <c r="AF505" s="41"/>
      <c r="AG505" s="44"/>
      <c r="AH505" s="44"/>
      <c r="AI505" s="44"/>
    </row>
    <row r="506" spans="10:35" x14ac:dyDescent="0.2">
      <c r="J506" s="41"/>
      <c r="K506" s="41"/>
      <c r="L506" s="41"/>
      <c r="M506" s="41"/>
      <c r="N506" s="41"/>
      <c r="O506" s="44"/>
      <c r="P506" s="44"/>
      <c r="Q506" s="44"/>
      <c r="S506" s="41"/>
      <c r="T506" s="41"/>
      <c r="U506" s="41"/>
      <c r="V506" s="41"/>
      <c r="X506" s="44"/>
      <c r="Y506" s="44"/>
      <c r="Z506" s="44"/>
      <c r="AB506" s="41"/>
      <c r="AC506" s="41"/>
      <c r="AD506" s="41"/>
      <c r="AE506" s="41"/>
      <c r="AF506" s="41"/>
      <c r="AG506" s="44"/>
      <c r="AH506" s="44"/>
      <c r="AI506" s="44"/>
    </row>
    <row r="507" spans="10:35" x14ac:dyDescent="0.2">
      <c r="J507" s="41"/>
      <c r="K507" s="41"/>
      <c r="L507" s="41"/>
      <c r="M507" s="41"/>
      <c r="N507" s="41"/>
      <c r="O507" s="44"/>
      <c r="P507" s="44"/>
      <c r="Q507" s="44"/>
      <c r="S507" s="41"/>
      <c r="T507" s="41"/>
      <c r="U507" s="41"/>
      <c r="V507" s="41"/>
      <c r="X507" s="44"/>
      <c r="Y507" s="44"/>
      <c r="Z507" s="44"/>
      <c r="AB507" s="41"/>
      <c r="AC507" s="41"/>
      <c r="AD507" s="41"/>
      <c r="AE507" s="41"/>
      <c r="AF507" s="41"/>
      <c r="AG507" s="44"/>
      <c r="AH507" s="44"/>
      <c r="AI507" s="44"/>
    </row>
    <row r="508" spans="10:35" x14ac:dyDescent="0.2">
      <c r="J508" s="41"/>
      <c r="K508" s="41"/>
      <c r="L508" s="41"/>
      <c r="M508" s="41"/>
      <c r="N508" s="41"/>
      <c r="O508" s="44"/>
      <c r="P508" s="44"/>
      <c r="Q508" s="44"/>
      <c r="S508" s="41"/>
      <c r="T508" s="41"/>
      <c r="U508" s="41"/>
      <c r="V508" s="41"/>
      <c r="X508" s="44"/>
      <c r="Y508" s="44"/>
      <c r="Z508" s="44"/>
      <c r="AB508" s="41"/>
      <c r="AC508" s="41"/>
      <c r="AD508" s="41"/>
      <c r="AE508" s="41"/>
      <c r="AF508" s="41"/>
      <c r="AG508" s="44"/>
      <c r="AH508" s="44"/>
      <c r="AI508" s="44"/>
    </row>
    <row r="509" spans="10:35" x14ac:dyDescent="0.2">
      <c r="J509" s="41"/>
      <c r="K509" s="41"/>
      <c r="L509" s="41"/>
      <c r="M509" s="41"/>
      <c r="N509" s="41"/>
      <c r="O509" s="44"/>
      <c r="P509" s="44"/>
      <c r="Q509" s="44"/>
      <c r="S509" s="41"/>
      <c r="T509" s="41"/>
      <c r="U509" s="41"/>
      <c r="V509" s="41"/>
      <c r="X509" s="44"/>
      <c r="Y509" s="44"/>
      <c r="Z509" s="44"/>
      <c r="AB509" s="41"/>
      <c r="AC509" s="41"/>
      <c r="AD509" s="41"/>
      <c r="AE509" s="41"/>
      <c r="AF509" s="41"/>
      <c r="AG509" s="44"/>
      <c r="AH509" s="44"/>
      <c r="AI509" s="44"/>
    </row>
    <row r="510" spans="10:35" x14ac:dyDescent="0.2">
      <c r="J510" s="41"/>
      <c r="K510" s="41"/>
      <c r="L510" s="41"/>
      <c r="M510" s="41"/>
      <c r="N510" s="41"/>
      <c r="O510" s="44"/>
      <c r="P510" s="44"/>
      <c r="Q510" s="44"/>
      <c r="S510" s="41"/>
      <c r="T510" s="41"/>
      <c r="U510" s="41"/>
      <c r="V510" s="41"/>
      <c r="X510" s="44"/>
      <c r="Y510" s="44"/>
      <c r="Z510" s="44"/>
      <c r="AB510" s="41"/>
      <c r="AC510" s="41"/>
      <c r="AD510" s="41"/>
      <c r="AE510" s="41"/>
      <c r="AF510" s="41"/>
      <c r="AG510" s="44"/>
      <c r="AH510" s="44"/>
      <c r="AI510" s="44"/>
    </row>
    <row r="511" spans="10:35" x14ac:dyDescent="0.2">
      <c r="J511" s="41"/>
      <c r="K511" s="41"/>
      <c r="L511" s="41"/>
      <c r="M511" s="41"/>
      <c r="N511" s="41"/>
      <c r="O511" s="44"/>
      <c r="P511" s="44"/>
      <c r="Q511" s="44"/>
      <c r="S511" s="41"/>
      <c r="T511" s="41"/>
      <c r="U511" s="41"/>
      <c r="V511" s="41"/>
      <c r="X511" s="44"/>
      <c r="Y511" s="44"/>
      <c r="Z511" s="44"/>
      <c r="AB511" s="41"/>
      <c r="AC511" s="41"/>
      <c r="AD511" s="41"/>
      <c r="AE511" s="41"/>
      <c r="AF511" s="41"/>
      <c r="AG511" s="44"/>
      <c r="AH511" s="44"/>
      <c r="AI511" s="44"/>
    </row>
    <row r="512" spans="10:35" x14ac:dyDescent="0.2">
      <c r="J512" s="41"/>
      <c r="K512" s="41"/>
      <c r="L512" s="41"/>
      <c r="M512" s="41"/>
      <c r="N512" s="41"/>
      <c r="O512" s="44"/>
      <c r="P512" s="44"/>
      <c r="Q512" s="44"/>
      <c r="S512" s="41"/>
      <c r="T512" s="41"/>
      <c r="U512" s="41"/>
      <c r="V512" s="41"/>
      <c r="X512" s="44"/>
      <c r="Y512" s="44"/>
      <c r="Z512" s="44"/>
      <c r="AB512" s="41"/>
      <c r="AC512" s="41"/>
      <c r="AD512" s="41"/>
      <c r="AE512" s="41"/>
      <c r="AF512" s="41"/>
      <c r="AG512" s="44"/>
      <c r="AH512" s="44"/>
      <c r="AI512" s="44"/>
    </row>
    <row r="513" spans="10:35" x14ac:dyDescent="0.2">
      <c r="J513" s="41"/>
      <c r="K513" s="41"/>
      <c r="L513" s="41"/>
      <c r="M513" s="41"/>
      <c r="N513" s="41"/>
      <c r="O513" s="44"/>
      <c r="P513" s="44"/>
      <c r="Q513" s="44"/>
      <c r="S513" s="41"/>
      <c r="T513" s="41"/>
      <c r="U513" s="41"/>
      <c r="V513" s="41"/>
      <c r="X513" s="44"/>
      <c r="Y513" s="44"/>
      <c r="Z513" s="44"/>
      <c r="AB513" s="41"/>
      <c r="AC513" s="41"/>
      <c r="AD513" s="41"/>
      <c r="AE513" s="41"/>
      <c r="AF513" s="41"/>
      <c r="AG513" s="44"/>
      <c r="AH513" s="44"/>
      <c r="AI513" s="44"/>
    </row>
    <row r="514" spans="10:35" x14ac:dyDescent="0.2">
      <c r="J514" s="41"/>
      <c r="K514" s="41"/>
      <c r="L514" s="41"/>
      <c r="M514" s="41"/>
      <c r="N514" s="41"/>
      <c r="O514" s="44"/>
      <c r="P514" s="44"/>
      <c r="Q514" s="44"/>
      <c r="S514" s="41"/>
      <c r="T514" s="41"/>
      <c r="U514" s="41"/>
      <c r="V514" s="41"/>
      <c r="X514" s="44"/>
      <c r="Y514" s="44"/>
      <c r="Z514" s="44"/>
      <c r="AB514" s="41"/>
      <c r="AC514" s="41"/>
      <c r="AD514" s="41"/>
      <c r="AE514" s="41"/>
      <c r="AF514" s="41"/>
      <c r="AG514" s="44"/>
      <c r="AH514" s="44"/>
      <c r="AI514" s="44"/>
    </row>
    <row r="515" spans="10:35" x14ac:dyDescent="0.2">
      <c r="J515" s="41"/>
      <c r="K515" s="41"/>
      <c r="L515" s="41"/>
      <c r="M515" s="41"/>
      <c r="N515" s="41"/>
      <c r="O515" s="44"/>
      <c r="P515" s="44"/>
      <c r="Q515" s="44"/>
      <c r="S515" s="41"/>
      <c r="T515" s="41"/>
      <c r="U515" s="41"/>
      <c r="V515" s="41"/>
      <c r="X515" s="44"/>
      <c r="Y515" s="44"/>
      <c r="Z515" s="44"/>
      <c r="AB515" s="41"/>
      <c r="AC515" s="41"/>
      <c r="AD515" s="41"/>
      <c r="AE515" s="41"/>
      <c r="AF515" s="41"/>
      <c r="AG515" s="44"/>
      <c r="AH515" s="44"/>
      <c r="AI515" s="44"/>
    </row>
    <row r="516" spans="10:35" x14ac:dyDescent="0.2">
      <c r="J516" s="41"/>
      <c r="K516" s="41"/>
      <c r="L516" s="41"/>
      <c r="M516" s="41"/>
      <c r="N516" s="41"/>
      <c r="O516" s="44"/>
      <c r="P516" s="44"/>
      <c r="Q516" s="44"/>
      <c r="S516" s="41"/>
      <c r="T516" s="41"/>
      <c r="U516" s="41"/>
      <c r="V516" s="41"/>
      <c r="X516" s="44"/>
      <c r="Y516" s="44"/>
      <c r="Z516" s="44"/>
      <c r="AB516" s="41"/>
      <c r="AC516" s="41"/>
      <c r="AD516" s="41"/>
      <c r="AE516" s="41"/>
      <c r="AF516" s="41"/>
      <c r="AG516" s="44"/>
      <c r="AH516" s="44"/>
      <c r="AI516" s="44"/>
    </row>
    <row r="517" spans="10:35" x14ac:dyDescent="0.2">
      <c r="J517" s="41"/>
      <c r="K517" s="41"/>
      <c r="L517" s="41"/>
      <c r="M517" s="41"/>
      <c r="N517" s="41"/>
      <c r="O517" s="44"/>
      <c r="P517" s="44"/>
      <c r="Q517" s="44"/>
      <c r="S517" s="41"/>
      <c r="T517" s="41"/>
      <c r="U517" s="41"/>
      <c r="V517" s="41"/>
      <c r="X517" s="44"/>
      <c r="Y517" s="44"/>
      <c r="Z517" s="44"/>
      <c r="AB517" s="41"/>
      <c r="AC517" s="41"/>
      <c r="AD517" s="41"/>
      <c r="AE517" s="41"/>
      <c r="AF517" s="41"/>
      <c r="AG517" s="44"/>
      <c r="AH517" s="44"/>
      <c r="AI517" s="44"/>
    </row>
    <row r="518" spans="10:35" x14ac:dyDescent="0.2">
      <c r="J518" s="41"/>
      <c r="K518" s="41"/>
      <c r="L518" s="41"/>
      <c r="M518" s="41"/>
      <c r="N518" s="41"/>
      <c r="O518" s="44"/>
      <c r="P518" s="44"/>
      <c r="Q518" s="44"/>
      <c r="S518" s="41"/>
      <c r="T518" s="41"/>
      <c r="U518" s="41"/>
      <c r="V518" s="41"/>
      <c r="X518" s="44"/>
      <c r="Y518" s="44"/>
      <c r="Z518" s="44"/>
      <c r="AB518" s="41"/>
      <c r="AC518" s="41"/>
      <c r="AD518" s="41"/>
      <c r="AE518" s="41"/>
      <c r="AF518" s="41"/>
      <c r="AG518" s="44"/>
      <c r="AH518" s="44"/>
      <c r="AI518" s="44"/>
    </row>
    <row r="519" spans="10:35" x14ac:dyDescent="0.2">
      <c r="J519" s="41"/>
      <c r="K519" s="41"/>
      <c r="L519" s="41"/>
      <c r="M519" s="41"/>
      <c r="N519" s="41"/>
      <c r="O519" s="44"/>
      <c r="P519" s="44"/>
      <c r="Q519" s="44"/>
      <c r="S519" s="41"/>
      <c r="T519" s="41"/>
      <c r="U519" s="41"/>
      <c r="V519" s="41"/>
      <c r="X519" s="44"/>
      <c r="Y519" s="44"/>
      <c r="Z519" s="44"/>
      <c r="AB519" s="41"/>
      <c r="AC519" s="41"/>
      <c r="AD519" s="41"/>
      <c r="AE519" s="41"/>
      <c r="AF519" s="41"/>
      <c r="AG519" s="44"/>
      <c r="AH519" s="44"/>
      <c r="AI519" s="44"/>
    </row>
    <row r="520" spans="10:35" x14ac:dyDescent="0.2">
      <c r="J520" s="41"/>
      <c r="K520" s="41"/>
      <c r="L520" s="41"/>
      <c r="M520" s="41"/>
      <c r="N520" s="41"/>
      <c r="O520" s="44"/>
      <c r="P520" s="44"/>
      <c r="Q520" s="44"/>
      <c r="S520" s="41"/>
      <c r="T520" s="41"/>
      <c r="U520" s="41"/>
      <c r="V520" s="41"/>
      <c r="X520" s="44"/>
      <c r="Y520" s="44"/>
      <c r="Z520" s="44"/>
      <c r="AB520" s="41"/>
      <c r="AC520" s="41"/>
      <c r="AD520" s="41"/>
      <c r="AE520" s="41"/>
      <c r="AF520" s="41"/>
      <c r="AG520" s="44"/>
      <c r="AH520" s="44"/>
      <c r="AI520" s="44"/>
    </row>
    <row r="521" spans="10:35" x14ac:dyDescent="0.2">
      <c r="J521" s="41"/>
      <c r="K521" s="41"/>
      <c r="L521" s="41"/>
      <c r="M521" s="41"/>
      <c r="N521" s="41"/>
      <c r="O521" s="44"/>
      <c r="P521" s="44"/>
      <c r="Q521" s="44"/>
      <c r="S521" s="41"/>
      <c r="T521" s="41"/>
      <c r="U521" s="41"/>
      <c r="V521" s="41"/>
      <c r="X521" s="44"/>
      <c r="Y521" s="44"/>
      <c r="Z521" s="44"/>
      <c r="AB521" s="41"/>
      <c r="AC521" s="41"/>
      <c r="AD521" s="41"/>
      <c r="AE521" s="41"/>
      <c r="AF521" s="41"/>
      <c r="AG521" s="44"/>
      <c r="AH521" s="44"/>
      <c r="AI521" s="44"/>
    </row>
    <row r="522" spans="10:35" x14ac:dyDescent="0.2">
      <c r="J522" s="41"/>
      <c r="K522" s="41"/>
      <c r="L522" s="41"/>
      <c r="M522" s="41"/>
      <c r="N522" s="41"/>
      <c r="O522" s="44"/>
      <c r="P522" s="44"/>
      <c r="Q522" s="44"/>
      <c r="S522" s="41"/>
      <c r="T522" s="41"/>
      <c r="U522" s="41"/>
      <c r="V522" s="41"/>
      <c r="X522" s="44"/>
      <c r="Y522" s="44"/>
      <c r="Z522" s="44"/>
      <c r="AB522" s="41"/>
      <c r="AC522" s="41"/>
      <c r="AD522" s="41"/>
      <c r="AE522" s="41"/>
      <c r="AF522" s="41"/>
      <c r="AG522" s="44"/>
      <c r="AH522" s="44"/>
      <c r="AI522" s="44"/>
    </row>
    <row r="523" spans="10:35" x14ac:dyDescent="0.2">
      <c r="J523" s="41"/>
      <c r="K523" s="41"/>
      <c r="L523" s="41"/>
      <c r="M523" s="41"/>
      <c r="N523" s="41"/>
      <c r="O523" s="44"/>
      <c r="P523" s="44"/>
      <c r="Q523" s="44"/>
      <c r="S523" s="41"/>
      <c r="T523" s="41"/>
      <c r="U523" s="41"/>
      <c r="V523" s="41"/>
      <c r="X523" s="44"/>
      <c r="Y523" s="44"/>
      <c r="Z523" s="44"/>
      <c r="AB523" s="41"/>
      <c r="AC523" s="41"/>
      <c r="AD523" s="41"/>
      <c r="AE523" s="41"/>
      <c r="AF523" s="41"/>
      <c r="AG523" s="44"/>
      <c r="AH523" s="44"/>
      <c r="AI523" s="44"/>
    </row>
    <row r="524" spans="10:35" x14ac:dyDescent="0.2">
      <c r="J524" s="41"/>
      <c r="K524" s="41"/>
      <c r="L524" s="41"/>
      <c r="M524" s="41"/>
      <c r="N524" s="41"/>
      <c r="O524" s="44"/>
      <c r="P524" s="44"/>
      <c r="Q524" s="44"/>
      <c r="S524" s="41"/>
      <c r="T524" s="41"/>
      <c r="U524" s="41"/>
      <c r="V524" s="41"/>
      <c r="X524" s="44"/>
      <c r="Y524" s="44"/>
      <c r="Z524" s="44"/>
      <c r="AB524" s="41"/>
      <c r="AC524" s="41"/>
      <c r="AD524" s="41"/>
      <c r="AE524" s="41"/>
      <c r="AF524" s="41"/>
      <c r="AG524" s="44"/>
      <c r="AH524" s="44"/>
      <c r="AI524" s="44"/>
    </row>
    <row r="525" spans="10:35" x14ac:dyDescent="0.2">
      <c r="J525" s="41"/>
      <c r="K525" s="41"/>
      <c r="L525" s="41"/>
      <c r="M525" s="41"/>
      <c r="N525" s="41"/>
      <c r="O525" s="44"/>
      <c r="P525" s="44"/>
      <c r="Q525" s="44"/>
      <c r="S525" s="41"/>
      <c r="T525" s="41"/>
      <c r="U525" s="41"/>
      <c r="V525" s="41"/>
      <c r="X525" s="44"/>
      <c r="Y525" s="44"/>
      <c r="Z525" s="44"/>
      <c r="AB525" s="41"/>
      <c r="AC525" s="41"/>
      <c r="AD525" s="41"/>
      <c r="AE525" s="41"/>
      <c r="AF525" s="41"/>
      <c r="AG525" s="44"/>
      <c r="AH525" s="44"/>
      <c r="AI525" s="44"/>
    </row>
    <row r="526" spans="10:35" x14ac:dyDescent="0.2">
      <c r="J526" s="41"/>
      <c r="K526" s="41"/>
      <c r="L526" s="41"/>
      <c r="M526" s="41"/>
      <c r="N526" s="41"/>
      <c r="O526" s="44"/>
      <c r="P526" s="44"/>
      <c r="Q526" s="44"/>
      <c r="S526" s="41"/>
      <c r="T526" s="41"/>
      <c r="U526" s="41"/>
      <c r="V526" s="41"/>
      <c r="X526" s="44"/>
      <c r="Y526" s="44"/>
      <c r="Z526" s="44"/>
      <c r="AB526" s="41"/>
      <c r="AC526" s="41"/>
      <c r="AD526" s="41"/>
      <c r="AE526" s="41"/>
      <c r="AF526" s="41"/>
      <c r="AG526" s="44"/>
      <c r="AH526" s="44"/>
      <c r="AI526" s="44"/>
    </row>
    <row r="527" spans="10:35" x14ac:dyDescent="0.2">
      <c r="J527" s="41"/>
      <c r="K527" s="41"/>
      <c r="L527" s="41"/>
      <c r="M527" s="41"/>
      <c r="N527" s="41"/>
      <c r="O527" s="44"/>
      <c r="P527" s="44"/>
      <c r="Q527" s="44"/>
      <c r="S527" s="41"/>
      <c r="T527" s="41"/>
      <c r="U527" s="41"/>
      <c r="V527" s="41"/>
      <c r="X527" s="44"/>
      <c r="Y527" s="44"/>
      <c r="Z527" s="44"/>
      <c r="AB527" s="41"/>
      <c r="AC527" s="41"/>
      <c r="AD527" s="41"/>
      <c r="AE527" s="41"/>
      <c r="AF527" s="41"/>
      <c r="AG527" s="44"/>
      <c r="AH527" s="44"/>
      <c r="AI527" s="44"/>
    </row>
    <row r="528" spans="10:35" x14ac:dyDescent="0.2">
      <c r="J528" s="41"/>
      <c r="K528" s="41"/>
      <c r="L528" s="41"/>
      <c r="M528" s="41"/>
      <c r="N528" s="41"/>
      <c r="O528" s="44"/>
      <c r="P528" s="44"/>
      <c r="Q528" s="44"/>
      <c r="S528" s="41"/>
      <c r="T528" s="41"/>
      <c r="U528" s="41"/>
      <c r="V528" s="41"/>
      <c r="X528" s="44"/>
      <c r="Y528" s="44"/>
      <c r="Z528" s="44"/>
      <c r="AB528" s="41"/>
      <c r="AC528" s="41"/>
      <c r="AD528" s="41"/>
      <c r="AE528" s="41"/>
      <c r="AF528" s="41"/>
      <c r="AG528" s="44"/>
      <c r="AH528" s="44"/>
      <c r="AI528" s="44"/>
    </row>
    <row r="529" spans="10:35" x14ac:dyDescent="0.2">
      <c r="J529" s="41"/>
      <c r="K529" s="41"/>
      <c r="L529" s="41"/>
      <c r="M529" s="41"/>
      <c r="N529" s="41"/>
      <c r="O529" s="44"/>
      <c r="P529" s="44"/>
      <c r="Q529" s="44"/>
      <c r="S529" s="41"/>
      <c r="T529" s="41"/>
      <c r="U529" s="41"/>
      <c r="V529" s="41"/>
      <c r="X529" s="44"/>
      <c r="Y529" s="44"/>
      <c r="Z529" s="44"/>
      <c r="AB529" s="41"/>
      <c r="AC529" s="41"/>
      <c r="AD529" s="41"/>
      <c r="AE529" s="41"/>
      <c r="AF529" s="41"/>
      <c r="AG529" s="44"/>
      <c r="AH529" s="44"/>
      <c r="AI529" s="44"/>
    </row>
    <row r="530" spans="10:35" x14ac:dyDescent="0.2">
      <c r="J530" s="41"/>
      <c r="K530" s="41"/>
      <c r="L530" s="41"/>
      <c r="M530" s="41"/>
      <c r="N530" s="41"/>
      <c r="O530" s="44"/>
      <c r="P530" s="44"/>
      <c r="Q530" s="44"/>
      <c r="S530" s="41"/>
      <c r="T530" s="41"/>
      <c r="U530" s="41"/>
      <c r="V530" s="41"/>
      <c r="X530" s="44"/>
      <c r="Y530" s="44"/>
      <c r="Z530" s="44"/>
      <c r="AB530" s="41"/>
      <c r="AC530" s="41"/>
      <c r="AD530" s="41"/>
      <c r="AE530" s="41"/>
      <c r="AF530" s="41"/>
      <c r="AG530" s="44"/>
      <c r="AH530" s="44"/>
      <c r="AI530" s="44"/>
    </row>
    <row r="531" spans="10:35" x14ac:dyDescent="0.2">
      <c r="J531" s="41"/>
      <c r="K531" s="41"/>
      <c r="L531" s="41"/>
      <c r="M531" s="41"/>
      <c r="N531" s="41"/>
      <c r="O531" s="44"/>
      <c r="P531" s="44"/>
      <c r="Q531" s="44"/>
      <c r="S531" s="41"/>
      <c r="T531" s="41"/>
      <c r="U531" s="41"/>
      <c r="V531" s="41"/>
      <c r="X531" s="44"/>
      <c r="Y531" s="44"/>
      <c r="Z531" s="44"/>
      <c r="AB531" s="41"/>
      <c r="AC531" s="41"/>
      <c r="AD531" s="41"/>
      <c r="AE531" s="41"/>
      <c r="AF531" s="41"/>
      <c r="AG531" s="44"/>
      <c r="AH531" s="44"/>
      <c r="AI531" s="44"/>
    </row>
    <row r="532" spans="10:35" x14ac:dyDescent="0.2">
      <c r="J532" s="41"/>
      <c r="K532" s="41"/>
      <c r="L532" s="41"/>
      <c r="M532" s="41"/>
      <c r="N532" s="41"/>
      <c r="O532" s="44"/>
      <c r="P532" s="44"/>
      <c r="Q532" s="44"/>
      <c r="S532" s="41"/>
      <c r="T532" s="41"/>
      <c r="U532" s="41"/>
      <c r="V532" s="41"/>
      <c r="X532" s="44"/>
      <c r="Y532" s="44"/>
      <c r="Z532" s="44"/>
      <c r="AB532" s="41"/>
      <c r="AC532" s="41"/>
      <c r="AD532" s="41"/>
      <c r="AE532" s="41"/>
      <c r="AF532" s="41"/>
      <c r="AG532" s="44"/>
      <c r="AH532" s="44"/>
      <c r="AI532" s="44"/>
    </row>
    <row r="533" spans="10:35" x14ac:dyDescent="0.2">
      <c r="J533" s="41"/>
      <c r="K533" s="41"/>
      <c r="L533" s="41"/>
      <c r="M533" s="41"/>
      <c r="N533" s="41"/>
      <c r="O533" s="44"/>
      <c r="P533" s="44"/>
      <c r="Q533" s="44"/>
      <c r="S533" s="41"/>
      <c r="T533" s="41"/>
      <c r="U533" s="41"/>
      <c r="V533" s="41"/>
      <c r="X533" s="44"/>
      <c r="Y533" s="44"/>
      <c r="Z533" s="44"/>
      <c r="AB533" s="41"/>
      <c r="AC533" s="41"/>
      <c r="AD533" s="41"/>
      <c r="AE533" s="41"/>
      <c r="AF533" s="41"/>
      <c r="AG533" s="44"/>
      <c r="AH533" s="44"/>
      <c r="AI533" s="44"/>
    </row>
    <row r="534" spans="10:35" x14ac:dyDescent="0.2">
      <c r="J534" s="41"/>
      <c r="K534" s="41"/>
      <c r="L534" s="41"/>
      <c r="M534" s="41"/>
      <c r="N534" s="41"/>
      <c r="O534" s="44"/>
      <c r="P534" s="44"/>
      <c r="Q534" s="44"/>
      <c r="S534" s="41"/>
      <c r="T534" s="41"/>
      <c r="U534" s="41"/>
      <c r="V534" s="41"/>
      <c r="X534" s="44"/>
      <c r="Y534" s="44"/>
      <c r="Z534" s="44"/>
      <c r="AB534" s="41"/>
      <c r="AC534" s="41"/>
      <c r="AD534" s="41"/>
      <c r="AE534" s="41"/>
      <c r="AF534" s="41"/>
      <c r="AG534" s="44"/>
      <c r="AH534" s="44"/>
      <c r="AI534" s="44"/>
    </row>
    <row r="535" spans="10:35" x14ac:dyDescent="0.2">
      <c r="J535" s="41"/>
      <c r="K535" s="41"/>
      <c r="L535" s="41"/>
      <c r="M535" s="41"/>
      <c r="N535" s="41"/>
      <c r="O535" s="44"/>
      <c r="P535" s="44"/>
      <c r="Q535" s="44"/>
      <c r="S535" s="41"/>
      <c r="T535" s="41"/>
      <c r="U535" s="41"/>
      <c r="V535" s="41"/>
      <c r="X535" s="44"/>
      <c r="Y535" s="44"/>
      <c r="Z535" s="44"/>
      <c r="AB535" s="41"/>
      <c r="AC535" s="41"/>
      <c r="AD535" s="41"/>
      <c r="AE535" s="41"/>
      <c r="AF535" s="41"/>
      <c r="AG535" s="44"/>
      <c r="AH535" s="44"/>
      <c r="AI535" s="44"/>
    </row>
    <row r="536" spans="10:35" x14ac:dyDescent="0.2">
      <c r="J536" s="41"/>
      <c r="K536" s="41"/>
      <c r="L536" s="41"/>
      <c r="M536" s="41"/>
      <c r="N536" s="41"/>
      <c r="O536" s="44"/>
      <c r="P536" s="44"/>
      <c r="Q536" s="44"/>
      <c r="S536" s="41"/>
      <c r="T536" s="41"/>
      <c r="U536" s="41"/>
      <c r="V536" s="41"/>
      <c r="X536" s="44"/>
      <c r="Y536" s="44"/>
      <c r="Z536" s="44"/>
      <c r="AB536" s="41"/>
      <c r="AC536" s="41"/>
      <c r="AD536" s="41"/>
      <c r="AE536" s="41"/>
      <c r="AF536" s="41"/>
      <c r="AG536" s="44"/>
      <c r="AH536" s="44"/>
      <c r="AI536" s="44"/>
    </row>
    <row r="537" spans="10:35" x14ac:dyDescent="0.2">
      <c r="J537" s="41"/>
      <c r="K537" s="41"/>
      <c r="L537" s="41"/>
      <c r="M537" s="41"/>
      <c r="N537" s="41"/>
      <c r="O537" s="44"/>
      <c r="P537" s="44"/>
      <c r="Q537" s="44"/>
      <c r="S537" s="41"/>
      <c r="T537" s="41"/>
      <c r="U537" s="41"/>
      <c r="V537" s="41"/>
      <c r="X537" s="44"/>
      <c r="Y537" s="44"/>
      <c r="Z537" s="44"/>
      <c r="AB537" s="41"/>
      <c r="AC537" s="41"/>
      <c r="AD537" s="41"/>
      <c r="AE537" s="41"/>
      <c r="AF537" s="41"/>
      <c r="AG537" s="44"/>
      <c r="AH537" s="44"/>
      <c r="AI537" s="44"/>
    </row>
    <row r="538" spans="10:35" x14ac:dyDescent="0.2">
      <c r="J538" s="41"/>
      <c r="K538" s="41"/>
      <c r="L538" s="41"/>
      <c r="M538" s="41"/>
      <c r="N538" s="41"/>
      <c r="O538" s="44"/>
      <c r="P538" s="44"/>
      <c r="Q538" s="44"/>
      <c r="S538" s="41"/>
      <c r="T538" s="41"/>
      <c r="U538" s="41"/>
      <c r="V538" s="41"/>
      <c r="X538" s="44"/>
      <c r="Y538" s="44"/>
      <c r="Z538" s="44"/>
      <c r="AB538" s="41"/>
      <c r="AC538" s="41"/>
      <c r="AD538" s="41"/>
      <c r="AE538" s="41"/>
      <c r="AF538" s="41"/>
      <c r="AG538" s="44"/>
      <c r="AH538" s="44"/>
      <c r="AI538" s="44"/>
    </row>
    <row r="539" spans="10:35" x14ac:dyDescent="0.2">
      <c r="J539" s="41"/>
      <c r="K539" s="41"/>
      <c r="L539" s="41"/>
      <c r="M539" s="41"/>
      <c r="N539" s="41"/>
      <c r="O539" s="44"/>
      <c r="P539" s="44"/>
      <c r="Q539" s="44"/>
      <c r="S539" s="41"/>
      <c r="T539" s="41"/>
      <c r="U539" s="41"/>
      <c r="V539" s="41"/>
      <c r="X539" s="44"/>
      <c r="Y539" s="44"/>
      <c r="Z539" s="44"/>
      <c r="AB539" s="41"/>
      <c r="AC539" s="41"/>
      <c r="AD539" s="41"/>
      <c r="AE539" s="41"/>
      <c r="AF539" s="41"/>
      <c r="AG539" s="44"/>
      <c r="AH539" s="44"/>
      <c r="AI539" s="44"/>
    </row>
    <row r="540" spans="10:35" x14ac:dyDescent="0.2">
      <c r="J540" s="41"/>
      <c r="K540" s="41"/>
      <c r="L540" s="41"/>
      <c r="M540" s="41"/>
      <c r="N540" s="41"/>
      <c r="O540" s="44"/>
      <c r="P540" s="44"/>
      <c r="Q540" s="44"/>
      <c r="S540" s="41"/>
      <c r="T540" s="41"/>
      <c r="U540" s="41"/>
      <c r="V540" s="41"/>
      <c r="X540" s="44"/>
      <c r="Y540" s="44"/>
      <c r="Z540" s="44"/>
      <c r="AB540" s="41"/>
      <c r="AC540" s="41"/>
      <c r="AD540" s="41"/>
      <c r="AE540" s="41"/>
      <c r="AF540" s="41"/>
      <c r="AG540" s="44"/>
      <c r="AH540" s="44"/>
      <c r="AI540" s="44"/>
    </row>
    <row r="541" spans="10:35" x14ac:dyDescent="0.2">
      <c r="J541" s="41"/>
      <c r="K541" s="41"/>
      <c r="L541" s="41"/>
      <c r="M541" s="41"/>
      <c r="N541" s="41"/>
      <c r="O541" s="44"/>
      <c r="P541" s="44"/>
      <c r="Q541" s="44"/>
      <c r="S541" s="41"/>
      <c r="T541" s="41"/>
      <c r="U541" s="41"/>
      <c r="V541" s="41"/>
      <c r="X541" s="44"/>
      <c r="Y541" s="44"/>
      <c r="Z541" s="44"/>
      <c r="AB541" s="41"/>
      <c r="AC541" s="41"/>
      <c r="AD541" s="41"/>
      <c r="AE541" s="41"/>
      <c r="AF541" s="41"/>
      <c r="AG541" s="44"/>
      <c r="AH541" s="44"/>
      <c r="AI541" s="44"/>
    </row>
    <row r="542" spans="10:35" x14ac:dyDescent="0.2">
      <c r="J542" s="41"/>
      <c r="K542" s="41"/>
      <c r="L542" s="41"/>
      <c r="M542" s="41"/>
      <c r="N542" s="41"/>
      <c r="O542" s="44"/>
      <c r="P542" s="44"/>
      <c r="Q542" s="44"/>
      <c r="S542" s="41"/>
      <c r="T542" s="41"/>
      <c r="U542" s="41"/>
      <c r="V542" s="41"/>
      <c r="X542" s="44"/>
      <c r="Y542" s="44"/>
      <c r="Z542" s="44"/>
      <c r="AB542" s="41"/>
      <c r="AC542" s="41"/>
      <c r="AD542" s="41"/>
      <c r="AE542" s="41"/>
      <c r="AF542" s="41"/>
      <c r="AG542" s="44"/>
      <c r="AH542" s="44"/>
      <c r="AI542" s="44"/>
    </row>
    <row r="543" spans="10:35" x14ac:dyDescent="0.2">
      <c r="J543" s="41"/>
      <c r="K543" s="41"/>
      <c r="L543" s="41"/>
      <c r="M543" s="41"/>
      <c r="N543" s="41"/>
      <c r="O543" s="44"/>
      <c r="P543" s="44"/>
      <c r="Q543" s="44"/>
      <c r="S543" s="41"/>
      <c r="T543" s="41"/>
      <c r="U543" s="41"/>
      <c r="V543" s="41"/>
      <c r="X543" s="44"/>
      <c r="Y543" s="44"/>
      <c r="Z543" s="44"/>
      <c r="AB543" s="41"/>
      <c r="AC543" s="41"/>
      <c r="AD543" s="41"/>
      <c r="AE543" s="41"/>
      <c r="AF543" s="41"/>
      <c r="AG543" s="44"/>
      <c r="AH543" s="44"/>
      <c r="AI543" s="44"/>
    </row>
    <row r="544" spans="10:35" x14ac:dyDescent="0.2">
      <c r="J544" s="41"/>
      <c r="K544" s="41"/>
      <c r="L544" s="41"/>
      <c r="M544" s="41"/>
      <c r="N544" s="41"/>
      <c r="O544" s="44"/>
      <c r="P544" s="44"/>
      <c r="Q544" s="44"/>
      <c r="S544" s="41"/>
      <c r="T544" s="41"/>
      <c r="U544" s="41"/>
      <c r="V544" s="41"/>
      <c r="X544" s="44"/>
      <c r="Y544" s="44"/>
      <c r="Z544" s="44"/>
      <c r="AB544" s="41"/>
      <c r="AC544" s="41"/>
      <c r="AD544" s="41"/>
      <c r="AE544" s="41"/>
      <c r="AF544" s="41"/>
      <c r="AG544" s="44"/>
      <c r="AH544" s="44"/>
      <c r="AI544" s="44"/>
    </row>
    <row r="545" spans="10:35" x14ac:dyDescent="0.2">
      <c r="J545" s="41"/>
      <c r="K545" s="41"/>
      <c r="L545" s="41"/>
      <c r="M545" s="41"/>
      <c r="N545" s="41"/>
      <c r="O545" s="44"/>
      <c r="P545" s="44"/>
      <c r="Q545" s="44"/>
      <c r="S545" s="41"/>
      <c r="T545" s="41"/>
      <c r="U545" s="41"/>
      <c r="V545" s="41"/>
      <c r="X545" s="44"/>
      <c r="Y545" s="44"/>
      <c r="Z545" s="44"/>
      <c r="AB545" s="41"/>
      <c r="AC545" s="41"/>
      <c r="AD545" s="41"/>
      <c r="AE545" s="41"/>
      <c r="AF545" s="41"/>
      <c r="AG545" s="44"/>
      <c r="AH545" s="44"/>
      <c r="AI545" s="44"/>
    </row>
    <row r="546" spans="10:35" x14ac:dyDescent="0.2">
      <c r="J546" s="41"/>
      <c r="K546" s="41"/>
      <c r="L546" s="41"/>
      <c r="M546" s="41"/>
      <c r="N546" s="41"/>
      <c r="O546" s="44"/>
      <c r="P546" s="44"/>
      <c r="Q546" s="44"/>
      <c r="S546" s="41"/>
      <c r="T546" s="41"/>
      <c r="U546" s="41"/>
      <c r="V546" s="41"/>
      <c r="X546" s="44"/>
      <c r="Y546" s="44"/>
      <c r="Z546" s="44"/>
      <c r="AB546" s="41"/>
      <c r="AC546" s="41"/>
      <c r="AD546" s="41"/>
      <c r="AE546" s="41"/>
      <c r="AF546" s="41"/>
      <c r="AG546" s="44"/>
      <c r="AH546" s="44"/>
      <c r="AI546" s="44"/>
    </row>
    <row r="547" spans="10:35" x14ac:dyDescent="0.2">
      <c r="J547" s="41"/>
      <c r="K547" s="41"/>
      <c r="L547" s="41"/>
      <c r="M547" s="41"/>
      <c r="N547" s="41"/>
      <c r="O547" s="44"/>
      <c r="P547" s="44"/>
      <c r="Q547" s="44"/>
      <c r="S547" s="41"/>
      <c r="T547" s="41"/>
      <c r="U547" s="41"/>
      <c r="V547" s="41"/>
      <c r="X547" s="44"/>
      <c r="Y547" s="44"/>
      <c r="Z547" s="44"/>
      <c r="AB547" s="41"/>
      <c r="AC547" s="41"/>
      <c r="AD547" s="41"/>
      <c r="AE547" s="41"/>
      <c r="AF547" s="41"/>
      <c r="AG547" s="44"/>
      <c r="AH547" s="44"/>
      <c r="AI547" s="44"/>
    </row>
    <row r="548" spans="10:35" x14ac:dyDescent="0.2">
      <c r="J548" s="41"/>
      <c r="K548" s="41"/>
      <c r="L548" s="41"/>
      <c r="M548" s="41"/>
      <c r="N548" s="41"/>
      <c r="O548" s="44"/>
      <c r="P548" s="44"/>
      <c r="Q548" s="44"/>
      <c r="S548" s="41"/>
      <c r="T548" s="41"/>
      <c r="U548" s="41"/>
      <c r="V548" s="41"/>
      <c r="X548" s="44"/>
      <c r="Y548" s="44"/>
      <c r="Z548" s="44"/>
      <c r="AB548" s="41"/>
      <c r="AC548" s="41"/>
      <c r="AD548" s="41"/>
      <c r="AE548" s="41"/>
      <c r="AF548" s="41"/>
      <c r="AG548" s="44"/>
      <c r="AH548" s="44"/>
      <c r="AI548" s="44"/>
    </row>
    <row r="549" spans="10:35" x14ac:dyDescent="0.2">
      <c r="J549" s="41"/>
      <c r="K549" s="41"/>
      <c r="L549" s="41"/>
      <c r="M549" s="41"/>
      <c r="N549" s="41"/>
      <c r="O549" s="44"/>
      <c r="P549" s="44"/>
      <c r="Q549" s="44"/>
      <c r="S549" s="41"/>
      <c r="T549" s="41"/>
      <c r="U549" s="41"/>
      <c r="V549" s="41"/>
      <c r="X549" s="44"/>
      <c r="Y549" s="44"/>
      <c r="Z549" s="44"/>
      <c r="AB549" s="41"/>
      <c r="AC549" s="41"/>
      <c r="AD549" s="41"/>
      <c r="AE549" s="41"/>
      <c r="AF549" s="41"/>
      <c r="AG549" s="44"/>
      <c r="AH549" s="44"/>
      <c r="AI549" s="44"/>
    </row>
    <row r="550" spans="10:35" x14ac:dyDescent="0.2">
      <c r="J550" s="41"/>
      <c r="K550" s="41"/>
      <c r="L550" s="41"/>
      <c r="M550" s="41"/>
      <c r="N550" s="41"/>
      <c r="O550" s="44"/>
      <c r="P550" s="44"/>
      <c r="Q550" s="44"/>
      <c r="S550" s="41"/>
      <c r="T550" s="41"/>
      <c r="U550" s="41"/>
      <c r="V550" s="41"/>
      <c r="X550" s="44"/>
      <c r="Y550" s="44"/>
      <c r="Z550" s="44"/>
      <c r="AB550" s="41"/>
      <c r="AC550" s="41"/>
      <c r="AD550" s="41"/>
      <c r="AE550" s="41"/>
      <c r="AF550" s="41"/>
      <c r="AG550" s="44"/>
      <c r="AH550" s="44"/>
      <c r="AI550" s="44"/>
    </row>
    <row r="551" spans="10:35" x14ac:dyDescent="0.2">
      <c r="J551" s="41"/>
      <c r="K551" s="41"/>
      <c r="L551" s="41"/>
      <c r="M551" s="41"/>
      <c r="N551" s="41"/>
      <c r="O551" s="44"/>
      <c r="P551" s="44"/>
      <c r="Q551" s="44"/>
      <c r="S551" s="41"/>
      <c r="T551" s="41"/>
      <c r="U551" s="41"/>
      <c r="V551" s="41"/>
      <c r="X551" s="44"/>
      <c r="Y551" s="44"/>
      <c r="Z551" s="44"/>
      <c r="AB551" s="41"/>
      <c r="AC551" s="41"/>
      <c r="AD551" s="41"/>
      <c r="AE551" s="41"/>
      <c r="AF551" s="41"/>
      <c r="AG551" s="44"/>
      <c r="AH551" s="44"/>
      <c r="AI551" s="44"/>
    </row>
    <row r="552" spans="10:35" x14ac:dyDescent="0.2">
      <c r="J552" s="41"/>
      <c r="K552" s="41"/>
      <c r="L552" s="41"/>
      <c r="M552" s="41"/>
      <c r="N552" s="41"/>
      <c r="O552" s="44"/>
      <c r="P552" s="44"/>
      <c r="Q552" s="44"/>
      <c r="S552" s="41"/>
      <c r="T552" s="41"/>
      <c r="U552" s="41"/>
      <c r="V552" s="41"/>
      <c r="X552" s="44"/>
      <c r="Y552" s="44"/>
      <c r="Z552" s="44"/>
      <c r="AB552" s="41"/>
      <c r="AC552" s="41"/>
      <c r="AD552" s="41"/>
      <c r="AE552" s="41"/>
      <c r="AF552" s="41"/>
      <c r="AG552" s="44"/>
      <c r="AH552" s="44"/>
      <c r="AI552" s="44"/>
    </row>
    <row r="553" spans="10:35" x14ac:dyDescent="0.2">
      <c r="J553" s="41"/>
      <c r="K553" s="41"/>
      <c r="L553" s="41"/>
      <c r="M553" s="41"/>
      <c r="N553" s="41"/>
      <c r="O553" s="44"/>
      <c r="P553" s="44"/>
      <c r="Q553" s="44"/>
      <c r="S553" s="41"/>
      <c r="T553" s="41"/>
      <c r="U553" s="41"/>
      <c r="V553" s="41"/>
      <c r="X553" s="44"/>
      <c r="Y553" s="44"/>
      <c r="Z553" s="44"/>
      <c r="AB553" s="41"/>
      <c r="AC553" s="41"/>
      <c r="AD553" s="41"/>
      <c r="AE553" s="41"/>
      <c r="AF553" s="41"/>
      <c r="AG553" s="44"/>
      <c r="AH553" s="44"/>
      <c r="AI553" s="44"/>
    </row>
    <row r="554" spans="10:35" x14ac:dyDescent="0.2">
      <c r="J554" s="41"/>
      <c r="K554" s="41"/>
      <c r="L554" s="41"/>
      <c r="M554" s="41"/>
      <c r="N554" s="41"/>
      <c r="O554" s="44"/>
      <c r="P554" s="44"/>
      <c r="Q554" s="44"/>
      <c r="S554" s="41"/>
      <c r="T554" s="41"/>
      <c r="U554" s="41"/>
      <c r="V554" s="41"/>
      <c r="X554" s="44"/>
      <c r="Y554" s="44"/>
      <c r="Z554" s="44"/>
      <c r="AB554" s="41"/>
      <c r="AC554" s="41"/>
      <c r="AD554" s="41"/>
      <c r="AE554" s="41"/>
      <c r="AF554" s="41"/>
      <c r="AG554" s="44"/>
      <c r="AH554" s="44"/>
      <c r="AI554" s="44"/>
    </row>
    <row r="555" spans="10:35" x14ac:dyDescent="0.2">
      <c r="J555" s="41"/>
      <c r="K555" s="41"/>
      <c r="L555" s="41"/>
      <c r="M555" s="41"/>
      <c r="N555" s="41"/>
      <c r="O555" s="44"/>
      <c r="P555" s="44"/>
      <c r="Q555" s="44"/>
      <c r="S555" s="41"/>
      <c r="T555" s="41"/>
      <c r="U555" s="41"/>
      <c r="V555" s="41"/>
      <c r="X555" s="44"/>
      <c r="Y555" s="44"/>
      <c r="Z555" s="44"/>
      <c r="AB555" s="41"/>
      <c r="AC555" s="41"/>
      <c r="AD555" s="41"/>
      <c r="AE555" s="41"/>
      <c r="AF555" s="41"/>
      <c r="AG555" s="44"/>
      <c r="AH555" s="44"/>
      <c r="AI555" s="44"/>
    </row>
    <row r="556" spans="10:35" x14ac:dyDescent="0.2">
      <c r="J556" s="41"/>
      <c r="K556" s="41"/>
      <c r="L556" s="41"/>
      <c r="M556" s="41"/>
      <c r="N556" s="41"/>
      <c r="O556" s="44"/>
      <c r="P556" s="44"/>
      <c r="Q556" s="44"/>
      <c r="S556" s="41"/>
      <c r="T556" s="41"/>
      <c r="U556" s="41"/>
      <c r="V556" s="41"/>
      <c r="X556" s="44"/>
      <c r="Y556" s="44"/>
      <c r="Z556" s="44"/>
      <c r="AB556" s="41"/>
      <c r="AC556" s="41"/>
      <c r="AD556" s="41"/>
      <c r="AE556" s="41"/>
      <c r="AF556" s="41"/>
      <c r="AG556" s="44"/>
      <c r="AH556" s="44"/>
      <c r="AI556" s="44"/>
    </row>
    <row r="557" spans="10:35" x14ac:dyDescent="0.2">
      <c r="J557" s="41"/>
      <c r="K557" s="41"/>
      <c r="L557" s="41"/>
      <c r="M557" s="41"/>
      <c r="N557" s="41"/>
      <c r="O557" s="44"/>
      <c r="P557" s="44"/>
      <c r="Q557" s="44"/>
      <c r="S557" s="41"/>
      <c r="T557" s="41"/>
      <c r="U557" s="41"/>
      <c r="V557" s="41"/>
      <c r="X557" s="44"/>
      <c r="Y557" s="44"/>
      <c r="Z557" s="44"/>
      <c r="AB557" s="41"/>
      <c r="AC557" s="41"/>
      <c r="AD557" s="41"/>
      <c r="AE557" s="41"/>
      <c r="AF557" s="41"/>
      <c r="AG557" s="44"/>
      <c r="AH557" s="44"/>
      <c r="AI557" s="44"/>
    </row>
    <row r="558" spans="10:35" x14ac:dyDescent="0.2">
      <c r="J558" s="41"/>
      <c r="K558" s="41"/>
      <c r="L558" s="41"/>
      <c r="M558" s="41"/>
      <c r="N558" s="41"/>
      <c r="O558" s="44"/>
      <c r="P558" s="44"/>
      <c r="Q558" s="44"/>
      <c r="S558" s="41"/>
      <c r="T558" s="41"/>
      <c r="U558" s="41"/>
      <c r="V558" s="41"/>
      <c r="X558" s="44"/>
      <c r="Y558" s="44"/>
      <c r="Z558" s="44"/>
      <c r="AB558" s="41"/>
      <c r="AC558" s="41"/>
      <c r="AD558" s="41"/>
      <c r="AE558" s="41"/>
      <c r="AF558" s="41"/>
      <c r="AG558" s="44"/>
      <c r="AH558" s="44"/>
      <c r="AI558" s="44"/>
    </row>
    <row r="559" spans="10:35" x14ac:dyDescent="0.2">
      <c r="J559" s="41"/>
      <c r="K559" s="41"/>
      <c r="L559" s="41"/>
      <c r="M559" s="41"/>
      <c r="N559" s="41"/>
      <c r="O559" s="44"/>
      <c r="P559" s="44"/>
      <c r="Q559" s="44"/>
      <c r="S559" s="41"/>
      <c r="T559" s="41"/>
      <c r="U559" s="41"/>
      <c r="V559" s="41"/>
      <c r="X559" s="44"/>
      <c r="Y559" s="44"/>
      <c r="Z559" s="44"/>
      <c r="AB559" s="41"/>
      <c r="AC559" s="41"/>
      <c r="AD559" s="41"/>
      <c r="AE559" s="41"/>
      <c r="AF559" s="41"/>
      <c r="AG559" s="44"/>
      <c r="AH559" s="44"/>
      <c r="AI559" s="44"/>
    </row>
    <row r="560" spans="10:35" x14ac:dyDescent="0.2">
      <c r="J560" s="41"/>
      <c r="K560" s="41"/>
      <c r="L560" s="41"/>
      <c r="M560" s="41"/>
      <c r="N560" s="41"/>
      <c r="O560" s="44"/>
      <c r="P560" s="44"/>
      <c r="Q560" s="44"/>
      <c r="S560" s="41"/>
      <c r="T560" s="41"/>
      <c r="U560" s="41"/>
      <c r="V560" s="41"/>
      <c r="X560" s="44"/>
      <c r="Y560" s="44"/>
      <c r="Z560" s="44"/>
      <c r="AB560" s="41"/>
      <c r="AC560" s="41"/>
      <c r="AD560" s="41"/>
      <c r="AE560" s="41"/>
      <c r="AF560" s="41"/>
      <c r="AG560" s="44"/>
      <c r="AH560" s="44"/>
      <c r="AI560" s="44"/>
    </row>
    <row r="561" spans="10:35" x14ac:dyDescent="0.2">
      <c r="J561" s="41"/>
      <c r="K561" s="41"/>
      <c r="L561" s="41"/>
      <c r="M561" s="41"/>
      <c r="N561" s="41"/>
      <c r="O561" s="44"/>
      <c r="P561" s="44"/>
      <c r="Q561" s="44"/>
      <c r="S561" s="41"/>
      <c r="T561" s="41"/>
      <c r="U561" s="41"/>
      <c r="V561" s="41"/>
      <c r="X561" s="44"/>
      <c r="Y561" s="44"/>
      <c r="Z561" s="44"/>
      <c r="AB561" s="41"/>
      <c r="AC561" s="41"/>
      <c r="AD561" s="41"/>
      <c r="AE561" s="41"/>
      <c r="AF561" s="41"/>
      <c r="AG561" s="44"/>
      <c r="AH561" s="44"/>
      <c r="AI561" s="44"/>
    </row>
    <row r="562" spans="10:35" x14ac:dyDescent="0.2">
      <c r="J562" s="41"/>
      <c r="K562" s="41"/>
      <c r="L562" s="41"/>
      <c r="M562" s="41"/>
      <c r="N562" s="41"/>
      <c r="O562" s="44"/>
      <c r="P562" s="44"/>
      <c r="Q562" s="44"/>
      <c r="S562" s="41"/>
      <c r="T562" s="41"/>
      <c r="U562" s="41"/>
      <c r="V562" s="41"/>
      <c r="X562" s="44"/>
      <c r="Y562" s="44"/>
      <c r="Z562" s="44"/>
      <c r="AB562" s="41"/>
      <c r="AC562" s="41"/>
      <c r="AD562" s="41"/>
      <c r="AE562" s="41"/>
      <c r="AF562" s="41"/>
      <c r="AG562" s="44"/>
      <c r="AH562" s="44"/>
      <c r="AI562" s="44"/>
    </row>
    <row r="563" spans="10:35" x14ac:dyDescent="0.2">
      <c r="J563" s="41"/>
      <c r="K563" s="41"/>
      <c r="L563" s="41"/>
      <c r="M563" s="41"/>
      <c r="N563" s="41"/>
      <c r="O563" s="44"/>
      <c r="P563" s="44"/>
      <c r="Q563" s="44"/>
      <c r="S563" s="41"/>
      <c r="T563" s="41"/>
      <c r="U563" s="41"/>
      <c r="V563" s="41"/>
      <c r="X563" s="44"/>
      <c r="Y563" s="44"/>
      <c r="Z563" s="44"/>
      <c r="AB563" s="41"/>
      <c r="AC563" s="41"/>
      <c r="AD563" s="41"/>
      <c r="AE563" s="41"/>
      <c r="AF563" s="41"/>
      <c r="AG563" s="44"/>
      <c r="AH563" s="44"/>
      <c r="AI563" s="44"/>
    </row>
    <row r="564" spans="10:35" x14ac:dyDescent="0.2">
      <c r="J564" s="41"/>
      <c r="K564" s="41"/>
      <c r="L564" s="41"/>
      <c r="M564" s="41"/>
      <c r="N564" s="41"/>
      <c r="O564" s="44"/>
      <c r="P564" s="44"/>
      <c r="Q564" s="44"/>
      <c r="S564" s="41"/>
      <c r="T564" s="41"/>
      <c r="U564" s="41"/>
      <c r="V564" s="41"/>
      <c r="X564" s="44"/>
      <c r="Y564" s="44"/>
      <c r="Z564" s="44"/>
      <c r="AB564" s="41"/>
      <c r="AC564" s="41"/>
      <c r="AD564" s="41"/>
      <c r="AE564" s="41"/>
      <c r="AF564" s="41"/>
      <c r="AG564" s="44"/>
      <c r="AH564" s="44"/>
      <c r="AI564" s="44"/>
    </row>
    <row r="565" spans="10:35" x14ac:dyDescent="0.2">
      <c r="J565" s="41"/>
      <c r="K565" s="41"/>
      <c r="L565" s="41"/>
      <c r="M565" s="41"/>
      <c r="N565" s="41"/>
      <c r="O565" s="44"/>
      <c r="P565" s="44"/>
      <c r="Q565" s="44"/>
      <c r="S565" s="41"/>
      <c r="T565" s="41"/>
      <c r="U565" s="41"/>
      <c r="V565" s="41"/>
      <c r="X565" s="44"/>
      <c r="Y565" s="44"/>
      <c r="Z565" s="44"/>
      <c r="AB565" s="41"/>
      <c r="AC565" s="41"/>
      <c r="AD565" s="41"/>
      <c r="AE565" s="41"/>
      <c r="AF565" s="41"/>
      <c r="AG565" s="44"/>
      <c r="AH565" s="44"/>
      <c r="AI565" s="44"/>
    </row>
    <row r="566" spans="10:35" x14ac:dyDescent="0.2">
      <c r="J566" s="41"/>
      <c r="K566" s="41"/>
      <c r="L566" s="41"/>
      <c r="M566" s="41"/>
      <c r="N566" s="41"/>
      <c r="O566" s="44"/>
      <c r="P566" s="44"/>
      <c r="Q566" s="44"/>
      <c r="S566" s="41"/>
      <c r="T566" s="41"/>
      <c r="U566" s="41"/>
      <c r="V566" s="41"/>
      <c r="X566" s="44"/>
      <c r="Y566" s="44"/>
      <c r="Z566" s="44"/>
      <c r="AB566" s="41"/>
      <c r="AC566" s="41"/>
      <c r="AD566" s="41"/>
      <c r="AE566" s="41"/>
      <c r="AF566" s="41"/>
      <c r="AG566" s="44"/>
      <c r="AH566" s="44"/>
      <c r="AI566" s="44"/>
    </row>
    <row r="567" spans="10:35" x14ac:dyDescent="0.2">
      <c r="J567" s="41"/>
      <c r="K567" s="41"/>
      <c r="L567" s="41"/>
      <c r="M567" s="41"/>
      <c r="N567" s="41"/>
      <c r="O567" s="44"/>
      <c r="P567" s="44"/>
      <c r="Q567" s="44"/>
      <c r="S567" s="41"/>
      <c r="T567" s="41"/>
      <c r="U567" s="41"/>
      <c r="V567" s="41"/>
      <c r="X567" s="44"/>
      <c r="Y567" s="44"/>
      <c r="Z567" s="44"/>
      <c r="AB567" s="41"/>
      <c r="AC567" s="41"/>
      <c r="AD567" s="41"/>
      <c r="AE567" s="41"/>
      <c r="AF567" s="41"/>
      <c r="AG567" s="44"/>
      <c r="AH567" s="44"/>
      <c r="AI567" s="44"/>
    </row>
    <row r="568" spans="10:35" x14ac:dyDescent="0.2">
      <c r="J568" s="41"/>
      <c r="K568" s="41"/>
      <c r="L568" s="41"/>
      <c r="M568" s="41"/>
      <c r="N568" s="41"/>
      <c r="O568" s="44"/>
      <c r="P568" s="44"/>
      <c r="Q568" s="44"/>
      <c r="S568" s="41"/>
      <c r="T568" s="41"/>
      <c r="U568" s="41"/>
      <c r="V568" s="41"/>
      <c r="X568" s="44"/>
      <c r="Y568" s="44"/>
      <c r="Z568" s="44"/>
      <c r="AB568" s="41"/>
      <c r="AC568" s="41"/>
      <c r="AD568" s="41"/>
      <c r="AE568" s="41"/>
      <c r="AF568" s="41"/>
      <c r="AG568" s="44"/>
      <c r="AH568" s="44"/>
      <c r="AI568" s="44"/>
    </row>
    <row r="569" spans="10:35" x14ac:dyDescent="0.2">
      <c r="J569" s="41"/>
      <c r="K569" s="41"/>
      <c r="L569" s="41"/>
      <c r="M569" s="41"/>
      <c r="N569" s="41"/>
      <c r="O569" s="44"/>
      <c r="P569" s="44"/>
      <c r="Q569" s="44"/>
      <c r="S569" s="41"/>
      <c r="T569" s="41"/>
      <c r="U569" s="41"/>
      <c r="V569" s="41"/>
      <c r="X569" s="44"/>
      <c r="Y569" s="44"/>
      <c r="Z569" s="44"/>
      <c r="AB569" s="41"/>
      <c r="AC569" s="41"/>
      <c r="AD569" s="41"/>
      <c r="AE569" s="41"/>
      <c r="AF569" s="41"/>
      <c r="AG569" s="44"/>
      <c r="AH569" s="44"/>
      <c r="AI569" s="44"/>
    </row>
    <row r="570" spans="10:35" x14ac:dyDescent="0.2">
      <c r="J570" s="41"/>
      <c r="K570" s="41"/>
      <c r="L570" s="41"/>
      <c r="M570" s="41"/>
      <c r="N570" s="41"/>
      <c r="O570" s="44"/>
      <c r="P570" s="44"/>
      <c r="Q570" s="44"/>
      <c r="S570" s="41"/>
      <c r="T570" s="41"/>
      <c r="U570" s="41"/>
      <c r="V570" s="41"/>
      <c r="X570" s="44"/>
      <c r="Y570" s="44"/>
      <c r="Z570" s="44"/>
      <c r="AB570" s="41"/>
      <c r="AC570" s="41"/>
      <c r="AD570" s="41"/>
      <c r="AE570" s="41"/>
      <c r="AF570" s="41"/>
      <c r="AG570" s="44"/>
      <c r="AH570" s="44"/>
      <c r="AI570" s="44"/>
    </row>
    <row r="571" spans="10:35" x14ac:dyDescent="0.2">
      <c r="J571" s="41"/>
      <c r="K571" s="41"/>
      <c r="L571" s="41"/>
      <c r="M571" s="41"/>
      <c r="N571" s="41"/>
      <c r="O571" s="44"/>
      <c r="P571" s="44"/>
      <c r="Q571" s="44"/>
      <c r="S571" s="41"/>
      <c r="T571" s="41"/>
      <c r="U571" s="41"/>
      <c r="V571" s="41"/>
      <c r="X571" s="44"/>
      <c r="Y571" s="44"/>
      <c r="Z571" s="44"/>
      <c r="AB571" s="41"/>
      <c r="AC571" s="41"/>
      <c r="AD571" s="41"/>
      <c r="AE571" s="41"/>
      <c r="AF571" s="41"/>
      <c r="AG571" s="44"/>
      <c r="AH571" s="44"/>
      <c r="AI571" s="44"/>
    </row>
    <row r="572" spans="10:35" x14ac:dyDescent="0.2">
      <c r="J572" s="41"/>
      <c r="K572" s="41"/>
      <c r="L572" s="41"/>
      <c r="M572" s="41"/>
      <c r="N572" s="41"/>
      <c r="O572" s="44"/>
      <c r="P572" s="44"/>
      <c r="Q572" s="44"/>
      <c r="S572" s="41"/>
      <c r="T572" s="41"/>
      <c r="U572" s="41"/>
      <c r="V572" s="41"/>
      <c r="X572" s="44"/>
      <c r="Y572" s="44"/>
      <c r="Z572" s="44"/>
      <c r="AB572" s="41"/>
      <c r="AC572" s="41"/>
      <c r="AD572" s="41"/>
      <c r="AE572" s="41"/>
      <c r="AF572" s="41"/>
      <c r="AG572" s="44"/>
      <c r="AH572" s="44"/>
      <c r="AI572" s="44"/>
    </row>
    <row r="573" spans="10:35" x14ac:dyDescent="0.2">
      <c r="J573" s="41"/>
      <c r="K573" s="41"/>
      <c r="L573" s="41"/>
      <c r="M573" s="41"/>
      <c r="N573" s="41"/>
      <c r="O573" s="44"/>
      <c r="P573" s="44"/>
      <c r="Q573" s="44"/>
      <c r="S573" s="41"/>
      <c r="T573" s="41"/>
      <c r="U573" s="41"/>
      <c r="V573" s="41"/>
      <c r="X573" s="44"/>
      <c r="Y573" s="44"/>
      <c r="Z573" s="44"/>
      <c r="AB573" s="41"/>
      <c r="AC573" s="41"/>
      <c r="AD573" s="41"/>
      <c r="AE573" s="41"/>
      <c r="AF573" s="41"/>
      <c r="AG573" s="44"/>
      <c r="AH573" s="44"/>
      <c r="AI573" s="44"/>
    </row>
    <row r="574" spans="10:35" x14ac:dyDescent="0.2">
      <c r="J574" s="41"/>
      <c r="K574" s="41"/>
      <c r="L574" s="41"/>
      <c r="M574" s="41"/>
      <c r="N574" s="41"/>
      <c r="O574" s="44"/>
      <c r="P574" s="44"/>
      <c r="Q574" s="44"/>
      <c r="S574" s="41"/>
      <c r="T574" s="41"/>
      <c r="U574" s="41"/>
      <c r="V574" s="41"/>
      <c r="X574" s="44"/>
      <c r="Y574" s="44"/>
      <c r="Z574" s="44"/>
      <c r="AB574" s="41"/>
      <c r="AC574" s="41"/>
      <c r="AD574" s="41"/>
      <c r="AE574" s="41"/>
      <c r="AF574" s="41"/>
      <c r="AG574" s="44"/>
      <c r="AH574" s="44"/>
      <c r="AI574" s="44"/>
    </row>
    <row r="575" spans="10:35" x14ac:dyDescent="0.2">
      <c r="J575" s="41"/>
      <c r="K575" s="41"/>
      <c r="L575" s="41"/>
      <c r="M575" s="41"/>
      <c r="N575" s="41"/>
      <c r="O575" s="44"/>
      <c r="P575" s="44"/>
      <c r="Q575" s="44"/>
      <c r="S575" s="41"/>
      <c r="T575" s="41"/>
      <c r="U575" s="41"/>
      <c r="V575" s="41"/>
      <c r="X575" s="44"/>
      <c r="Y575" s="44"/>
      <c r="Z575" s="44"/>
      <c r="AB575" s="41"/>
      <c r="AC575" s="41"/>
      <c r="AD575" s="41"/>
      <c r="AE575" s="41"/>
      <c r="AF575" s="41"/>
      <c r="AG575" s="44"/>
      <c r="AH575" s="44"/>
      <c r="AI575" s="44"/>
    </row>
    <row r="576" spans="10:35" x14ac:dyDescent="0.2">
      <c r="J576" s="41"/>
      <c r="K576" s="41"/>
      <c r="L576" s="41"/>
      <c r="M576" s="41"/>
      <c r="N576" s="41"/>
      <c r="O576" s="44"/>
      <c r="P576" s="44"/>
      <c r="Q576" s="44"/>
      <c r="S576" s="41"/>
      <c r="T576" s="41"/>
      <c r="U576" s="41"/>
      <c r="V576" s="41"/>
      <c r="X576" s="44"/>
      <c r="Y576" s="44"/>
      <c r="Z576" s="44"/>
      <c r="AB576" s="41"/>
      <c r="AC576" s="41"/>
      <c r="AD576" s="41"/>
      <c r="AE576" s="41"/>
      <c r="AF576" s="41"/>
      <c r="AG576" s="44"/>
      <c r="AH576" s="44"/>
      <c r="AI576" s="44"/>
    </row>
    <row r="577" spans="10:35" x14ac:dyDescent="0.2">
      <c r="J577" s="41"/>
      <c r="K577" s="41"/>
      <c r="L577" s="41"/>
      <c r="M577" s="41"/>
      <c r="N577" s="41"/>
      <c r="O577" s="44"/>
      <c r="P577" s="44"/>
      <c r="Q577" s="44"/>
      <c r="S577" s="41"/>
      <c r="T577" s="41"/>
      <c r="U577" s="41"/>
      <c r="V577" s="41"/>
      <c r="X577" s="44"/>
      <c r="Y577" s="44"/>
      <c r="Z577" s="44"/>
      <c r="AB577" s="41"/>
      <c r="AC577" s="41"/>
      <c r="AD577" s="41"/>
      <c r="AE577" s="41"/>
      <c r="AF577" s="41"/>
      <c r="AG577" s="44"/>
      <c r="AH577" s="44"/>
      <c r="AI577" s="44"/>
    </row>
    <row r="578" spans="10:35" x14ac:dyDescent="0.2">
      <c r="J578" s="41"/>
      <c r="K578" s="41"/>
      <c r="L578" s="41"/>
      <c r="M578" s="41"/>
      <c r="N578" s="41"/>
      <c r="O578" s="44"/>
      <c r="P578" s="44"/>
      <c r="Q578" s="44"/>
      <c r="S578" s="41"/>
      <c r="T578" s="41"/>
      <c r="U578" s="41"/>
      <c r="V578" s="41"/>
      <c r="X578" s="44"/>
      <c r="Y578" s="44"/>
      <c r="Z578" s="44"/>
      <c r="AB578" s="41"/>
      <c r="AC578" s="41"/>
      <c r="AD578" s="41"/>
      <c r="AE578" s="41"/>
      <c r="AF578" s="41"/>
      <c r="AG578" s="44"/>
      <c r="AH578" s="44"/>
      <c r="AI578" s="44"/>
    </row>
    <row r="579" spans="10:35" x14ac:dyDescent="0.2">
      <c r="J579" s="41"/>
      <c r="K579" s="41"/>
      <c r="L579" s="41"/>
      <c r="M579" s="41"/>
      <c r="N579" s="41"/>
      <c r="O579" s="44"/>
      <c r="P579" s="44"/>
      <c r="Q579" s="44"/>
      <c r="S579" s="41"/>
      <c r="T579" s="41"/>
      <c r="U579" s="41"/>
      <c r="V579" s="41"/>
      <c r="X579" s="44"/>
      <c r="Y579" s="44"/>
      <c r="Z579" s="44"/>
      <c r="AB579" s="41"/>
      <c r="AC579" s="41"/>
      <c r="AD579" s="41"/>
      <c r="AE579" s="41"/>
      <c r="AF579" s="41"/>
      <c r="AG579" s="44"/>
      <c r="AH579" s="44"/>
      <c r="AI579" s="44"/>
    </row>
    <row r="580" spans="10:35" x14ac:dyDescent="0.2">
      <c r="J580" s="41"/>
      <c r="K580" s="41"/>
      <c r="L580" s="41"/>
      <c r="M580" s="41"/>
      <c r="N580" s="41"/>
      <c r="O580" s="44"/>
      <c r="P580" s="44"/>
      <c r="Q580" s="44"/>
      <c r="S580" s="41"/>
      <c r="T580" s="41"/>
      <c r="U580" s="41"/>
      <c r="V580" s="41"/>
      <c r="X580" s="44"/>
      <c r="Y580" s="44"/>
      <c r="Z580" s="44"/>
      <c r="AB580" s="41"/>
      <c r="AC580" s="41"/>
      <c r="AD580" s="41"/>
      <c r="AE580" s="41"/>
      <c r="AF580" s="41"/>
      <c r="AG580" s="44"/>
      <c r="AH580" s="44"/>
      <c r="AI580" s="44"/>
    </row>
    <row r="581" spans="10:35" x14ac:dyDescent="0.2">
      <c r="J581" s="41"/>
      <c r="K581" s="41"/>
      <c r="L581" s="41"/>
      <c r="M581" s="41"/>
      <c r="N581" s="41"/>
      <c r="O581" s="44"/>
      <c r="P581" s="44"/>
      <c r="Q581" s="44"/>
      <c r="S581" s="41"/>
      <c r="T581" s="41"/>
      <c r="U581" s="41"/>
      <c r="V581" s="41"/>
      <c r="X581" s="44"/>
      <c r="Y581" s="44"/>
      <c r="Z581" s="44"/>
      <c r="AB581" s="41"/>
      <c r="AC581" s="41"/>
      <c r="AD581" s="41"/>
      <c r="AE581" s="41"/>
      <c r="AF581" s="41"/>
      <c r="AG581" s="44"/>
      <c r="AH581" s="44"/>
      <c r="AI581" s="44"/>
    </row>
    <row r="582" spans="10:35" x14ac:dyDescent="0.2">
      <c r="J582" s="41"/>
      <c r="K582" s="41"/>
      <c r="L582" s="41"/>
      <c r="M582" s="41"/>
      <c r="N582" s="41"/>
      <c r="O582" s="44"/>
      <c r="P582" s="44"/>
      <c r="Q582" s="44"/>
      <c r="S582" s="41"/>
      <c r="T582" s="41"/>
      <c r="U582" s="41"/>
      <c r="V582" s="41"/>
      <c r="X582" s="44"/>
      <c r="Y582" s="44"/>
      <c r="Z582" s="44"/>
      <c r="AB582" s="41"/>
      <c r="AC582" s="41"/>
      <c r="AD582" s="41"/>
      <c r="AE582" s="41"/>
      <c r="AF582" s="41"/>
      <c r="AG582" s="44"/>
      <c r="AH582" s="44"/>
      <c r="AI582" s="44"/>
    </row>
    <row r="583" spans="10:35" x14ac:dyDescent="0.2">
      <c r="J583" s="41"/>
      <c r="K583" s="41"/>
      <c r="L583" s="41"/>
      <c r="M583" s="41"/>
      <c r="N583" s="41"/>
      <c r="O583" s="44"/>
      <c r="P583" s="44"/>
      <c r="Q583" s="44"/>
      <c r="S583" s="41"/>
      <c r="T583" s="41"/>
      <c r="U583" s="41"/>
      <c r="V583" s="41"/>
      <c r="X583" s="44"/>
      <c r="Y583" s="44"/>
      <c r="Z583" s="44"/>
      <c r="AB583" s="41"/>
      <c r="AC583" s="41"/>
      <c r="AD583" s="41"/>
      <c r="AE583" s="41"/>
      <c r="AF583" s="41"/>
      <c r="AG583" s="44"/>
      <c r="AH583" s="44"/>
      <c r="AI583" s="44"/>
    </row>
    <row r="584" spans="10:35" x14ac:dyDescent="0.2">
      <c r="J584" s="41"/>
      <c r="K584" s="41"/>
      <c r="L584" s="41"/>
      <c r="M584" s="41"/>
      <c r="N584" s="41"/>
      <c r="O584" s="44"/>
      <c r="P584" s="44"/>
      <c r="Q584" s="44"/>
      <c r="S584" s="41"/>
      <c r="T584" s="41"/>
      <c r="U584" s="41"/>
      <c r="V584" s="41"/>
      <c r="X584" s="44"/>
      <c r="Y584" s="44"/>
      <c r="Z584" s="44"/>
      <c r="AB584" s="41"/>
      <c r="AC584" s="41"/>
      <c r="AD584" s="41"/>
      <c r="AE584" s="41"/>
      <c r="AF584" s="41"/>
      <c r="AG584" s="44"/>
      <c r="AH584" s="44"/>
      <c r="AI584" s="44"/>
    </row>
    <row r="585" spans="10:35" x14ac:dyDescent="0.2">
      <c r="J585" s="41"/>
      <c r="K585" s="41"/>
      <c r="L585" s="41"/>
      <c r="M585" s="41"/>
      <c r="N585" s="41"/>
      <c r="O585" s="44"/>
      <c r="P585" s="44"/>
      <c r="Q585" s="44"/>
      <c r="S585" s="41"/>
      <c r="T585" s="41"/>
      <c r="U585" s="41"/>
      <c r="V585" s="41"/>
      <c r="X585" s="44"/>
      <c r="Y585" s="44"/>
      <c r="Z585" s="44"/>
      <c r="AB585" s="41"/>
      <c r="AC585" s="41"/>
      <c r="AD585" s="41"/>
      <c r="AE585" s="41"/>
      <c r="AF585" s="41"/>
      <c r="AG585" s="44"/>
      <c r="AH585" s="44"/>
      <c r="AI585" s="44"/>
    </row>
    <row r="586" spans="10:35" x14ac:dyDescent="0.2">
      <c r="J586" s="41"/>
      <c r="K586" s="41"/>
      <c r="L586" s="41"/>
      <c r="M586" s="41"/>
      <c r="N586" s="41"/>
      <c r="O586" s="44"/>
      <c r="P586" s="44"/>
      <c r="Q586" s="44"/>
      <c r="S586" s="41"/>
      <c r="T586" s="41"/>
      <c r="U586" s="41"/>
      <c r="V586" s="41"/>
      <c r="X586" s="44"/>
      <c r="Y586" s="44"/>
      <c r="Z586" s="44"/>
      <c r="AB586" s="41"/>
      <c r="AC586" s="41"/>
      <c r="AD586" s="41"/>
      <c r="AE586" s="41"/>
      <c r="AF586" s="41"/>
      <c r="AG586" s="44"/>
      <c r="AH586" s="44"/>
      <c r="AI586" s="44"/>
    </row>
    <row r="587" spans="10:35" x14ac:dyDescent="0.2">
      <c r="J587" s="41"/>
      <c r="K587" s="41"/>
      <c r="L587" s="41"/>
      <c r="M587" s="41"/>
      <c r="N587" s="41"/>
      <c r="O587" s="44"/>
      <c r="P587" s="44"/>
      <c r="Q587" s="44"/>
      <c r="S587" s="41"/>
      <c r="T587" s="41"/>
      <c r="U587" s="41"/>
      <c r="V587" s="41"/>
      <c r="X587" s="44"/>
      <c r="Y587" s="44"/>
      <c r="Z587" s="44"/>
      <c r="AB587" s="41"/>
      <c r="AC587" s="41"/>
      <c r="AD587" s="41"/>
      <c r="AE587" s="41"/>
      <c r="AF587" s="41"/>
      <c r="AG587" s="44"/>
      <c r="AH587" s="44"/>
      <c r="AI587" s="44"/>
    </row>
    <row r="588" spans="10:35" x14ac:dyDescent="0.2">
      <c r="J588" s="41"/>
      <c r="K588" s="41"/>
      <c r="L588" s="41"/>
      <c r="M588" s="41"/>
      <c r="N588" s="41"/>
      <c r="O588" s="44"/>
      <c r="P588" s="44"/>
      <c r="Q588" s="44"/>
      <c r="S588" s="41"/>
      <c r="T588" s="41"/>
      <c r="U588" s="41"/>
      <c r="V588" s="41"/>
      <c r="X588" s="44"/>
      <c r="Y588" s="44"/>
      <c r="Z588" s="44"/>
      <c r="AB588" s="41"/>
      <c r="AC588" s="41"/>
      <c r="AD588" s="41"/>
      <c r="AE588" s="41"/>
      <c r="AF588" s="41"/>
      <c r="AG588" s="44"/>
      <c r="AH588" s="44"/>
      <c r="AI588" s="44"/>
    </row>
    <row r="589" spans="10:35" x14ac:dyDescent="0.2">
      <c r="J589" s="41"/>
      <c r="K589" s="41"/>
      <c r="L589" s="41"/>
      <c r="M589" s="41"/>
      <c r="N589" s="41"/>
      <c r="O589" s="44"/>
      <c r="P589" s="44"/>
      <c r="Q589" s="44"/>
      <c r="S589" s="41"/>
      <c r="T589" s="41"/>
      <c r="U589" s="41"/>
      <c r="V589" s="41"/>
      <c r="X589" s="44"/>
      <c r="Y589" s="44"/>
      <c r="Z589" s="44"/>
      <c r="AB589" s="41"/>
      <c r="AC589" s="41"/>
      <c r="AD589" s="41"/>
      <c r="AE589" s="41"/>
      <c r="AF589" s="41"/>
      <c r="AG589" s="44"/>
      <c r="AH589" s="44"/>
      <c r="AI589" s="44"/>
    </row>
    <row r="590" spans="10:35" x14ac:dyDescent="0.2">
      <c r="J590" s="41"/>
      <c r="K590" s="41"/>
      <c r="L590" s="41"/>
      <c r="M590" s="41"/>
      <c r="N590" s="41"/>
      <c r="O590" s="44"/>
      <c r="P590" s="44"/>
      <c r="Q590" s="44"/>
      <c r="S590" s="41"/>
      <c r="T590" s="41"/>
      <c r="U590" s="41"/>
      <c r="V590" s="41"/>
      <c r="X590" s="44"/>
      <c r="Y590" s="44"/>
      <c r="Z590" s="44"/>
      <c r="AB590" s="41"/>
      <c r="AC590" s="41"/>
      <c r="AD590" s="41"/>
      <c r="AE590" s="41"/>
      <c r="AF590" s="41"/>
      <c r="AG590" s="44"/>
      <c r="AH590" s="44"/>
      <c r="AI590" s="44"/>
    </row>
    <row r="591" spans="10:35" x14ac:dyDescent="0.2">
      <c r="J591" s="41"/>
      <c r="K591" s="41"/>
      <c r="L591" s="41"/>
      <c r="M591" s="41"/>
      <c r="N591" s="41"/>
      <c r="O591" s="44"/>
      <c r="P591" s="44"/>
      <c r="Q591" s="44"/>
      <c r="S591" s="41"/>
      <c r="T591" s="41"/>
      <c r="U591" s="41"/>
      <c r="V591" s="41"/>
      <c r="X591" s="44"/>
      <c r="Y591" s="44"/>
      <c r="Z591" s="44"/>
      <c r="AB591" s="41"/>
      <c r="AC591" s="41"/>
      <c r="AD591" s="41"/>
      <c r="AE591" s="41"/>
      <c r="AF591" s="41"/>
      <c r="AG591" s="44"/>
      <c r="AH591" s="44"/>
      <c r="AI591" s="44"/>
    </row>
    <row r="592" spans="10:35" x14ac:dyDescent="0.2">
      <c r="J592" s="41"/>
      <c r="K592" s="41"/>
      <c r="L592" s="41"/>
      <c r="M592" s="41"/>
      <c r="N592" s="41"/>
      <c r="O592" s="44"/>
      <c r="P592" s="44"/>
      <c r="Q592" s="44"/>
      <c r="S592" s="41"/>
      <c r="T592" s="41"/>
      <c r="U592" s="41"/>
      <c r="V592" s="41"/>
      <c r="X592" s="44"/>
      <c r="Y592" s="44"/>
      <c r="Z592" s="44"/>
      <c r="AB592" s="41"/>
      <c r="AC592" s="41"/>
      <c r="AD592" s="41"/>
      <c r="AE592" s="41"/>
      <c r="AF592" s="41"/>
      <c r="AG592" s="44"/>
      <c r="AH592" s="44"/>
      <c r="AI592" s="44"/>
    </row>
    <row r="593" spans="10:35" x14ac:dyDescent="0.2">
      <c r="J593" s="41"/>
      <c r="K593" s="41"/>
      <c r="L593" s="41"/>
      <c r="M593" s="41"/>
      <c r="N593" s="41"/>
      <c r="O593" s="44"/>
      <c r="P593" s="44"/>
      <c r="Q593" s="44"/>
      <c r="S593" s="41"/>
      <c r="T593" s="41"/>
      <c r="U593" s="41"/>
      <c r="V593" s="41"/>
      <c r="X593" s="44"/>
      <c r="Y593" s="44"/>
      <c r="Z593" s="44"/>
      <c r="AB593" s="41"/>
      <c r="AC593" s="41"/>
      <c r="AD593" s="41"/>
      <c r="AE593" s="41"/>
      <c r="AF593" s="41"/>
      <c r="AG593" s="44"/>
      <c r="AH593" s="44"/>
      <c r="AI593" s="44"/>
    </row>
    <row r="594" spans="10:35" x14ac:dyDescent="0.2">
      <c r="J594" s="41"/>
      <c r="K594" s="41"/>
      <c r="L594" s="41"/>
      <c r="M594" s="41"/>
      <c r="N594" s="41"/>
      <c r="O594" s="44"/>
      <c r="P594" s="44"/>
      <c r="Q594" s="44"/>
      <c r="S594" s="41"/>
      <c r="T594" s="41"/>
      <c r="U594" s="41"/>
      <c r="V594" s="41"/>
      <c r="X594" s="44"/>
      <c r="Y594" s="44"/>
      <c r="Z594" s="44"/>
      <c r="AB594" s="41"/>
      <c r="AC594" s="41"/>
      <c r="AD594" s="41"/>
      <c r="AE594" s="41"/>
      <c r="AF594" s="41"/>
      <c r="AG594" s="44"/>
      <c r="AH594" s="44"/>
      <c r="AI594" s="44"/>
    </row>
    <row r="595" spans="10:35" x14ac:dyDescent="0.2">
      <c r="J595" s="41"/>
      <c r="K595" s="41"/>
      <c r="L595" s="41"/>
      <c r="M595" s="41"/>
      <c r="N595" s="41"/>
      <c r="O595" s="44"/>
      <c r="P595" s="44"/>
      <c r="Q595" s="44"/>
      <c r="S595" s="41"/>
      <c r="T595" s="41"/>
      <c r="U595" s="41"/>
      <c r="V595" s="41"/>
      <c r="X595" s="44"/>
      <c r="Y595" s="44"/>
      <c r="Z595" s="44"/>
      <c r="AB595" s="41"/>
      <c r="AC595" s="41"/>
      <c r="AD595" s="41"/>
      <c r="AE595" s="41"/>
      <c r="AF595" s="41"/>
      <c r="AG595" s="44"/>
      <c r="AH595" s="44"/>
      <c r="AI595" s="44"/>
    </row>
    <row r="596" spans="10:35" x14ac:dyDescent="0.2">
      <c r="J596" s="41"/>
      <c r="K596" s="41"/>
      <c r="L596" s="41"/>
      <c r="M596" s="41"/>
      <c r="N596" s="41"/>
      <c r="O596" s="44"/>
      <c r="P596" s="44"/>
      <c r="Q596" s="44"/>
      <c r="S596" s="41"/>
      <c r="T596" s="41"/>
      <c r="U596" s="41"/>
      <c r="V596" s="41"/>
      <c r="X596" s="44"/>
      <c r="Y596" s="44"/>
      <c r="Z596" s="44"/>
      <c r="AB596" s="41"/>
      <c r="AC596" s="41"/>
      <c r="AD596" s="41"/>
      <c r="AE596" s="41"/>
      <c r="AF596" s="41"/>
      <c r="AG596" s="44"/>
      <c r="AH596" s="44"/>
      <c r="AI596" s="44"/>
    </row>
    <row r="597" spans="10:35" x14ac:dyDescent="0.2">
      <c r="J597" s="41"/>
      <c r="K597" s="41"/>
      <c r="L597" s="41"/>
      <c r="M597" s="41"/>
      <c r="N597" s="41"/>
      <c r="O597" s="44"/>
      <c r="P597" s="44"/>
      <c r="Q597" s="44"/>
      <c r="S597" s="41"/>
      <c r="T597" s="41"/>
      <c r="U597" s="41"/>
      <c r="V597" s="41"/>
      <c r="X597" s="44"/>
      <c r="Y597" s="44"/>
      <c r="Z597" s="44"/>
      <c r="AB597" s="41"/>
      <c r="AC597" s="41"/>
      <c r="AD597" s="41"/>
      <c r="AE597" s="41"/>
      <c r="AF597" s="41"/>
      <c r="AG597" s="44"/>
      <c r="AH597" s="44"/>
      <c r="AI597" s="44"/>
    </row>
    <row r="598" spans="10:35" x14ac:dyDescent="0.2">
      <c r="J598" s="41"/>
      <c r="K598" s="41"/>
      <c r="L598" s="41"/>
      <c r="M598" s="41"/>
      <c r="N598" s="41"/>
      <c r="O598" s="44"/>
      <c r="P598" s="44"/>
      <c r="Q598" s="44"/>
      <c r="S598" s="41"/>
      <c r="T598" s="41"/>
      <c r="U598" s="41"/>
      <c r="V598" s="41"/>
      <c r="X598" s="44"/>
      <c r="Y598" s="44"/>
      <c r="Z598" s="44"/>
      <c r="AB598" s="41"/>
      <c r="AC598" s="41"/>
      <c r="AD598" s="41"/>
      <c r="AE598" s="41"/>
      <c r="AF598" s="41"/>
      <c r="AG598" s="44"/>
      <c r="AH598" s="44"/>
      <c r="AI598" s="44"/>
    </row>
    <row r="599" spans="10:35" x14ac:dyDescent="0.2">
      <c r="J599" s="41"/>
      <c r="K599" s="41"/>
      <c r="L599" s="41"/>
      <c r="M599" s="41"/>
      <c r="N599" s="41"/>
      <c r="O599" s="44"/>
      <c r="P599" s="44"/>
      <c r="Q599" s="44"/>
      <c r="S599" s="41"/>
      <c r="T599" s="41"/>
      <c r="U599" s="41"/>
      <c r="V599" s="41"/>
      <c r="X599" s="44"/>
      <c r="Y599" s="44"/>
      <c r="Z599" s="44"/>
      <c r="AB599" s="41"/>
      <c r="AC599" s="41"/>
      <c r="AD599" s="41"/>
      <c r="AE599" s="41"/>
      <c r="AF599" s="41"/>
      <c r="AG599" s="44"/>
      <c r="AH599" s="44"/>
      <c r="AI599" s="44"/>
    </row>
    <row r="600" spans="10:35" x14ac:dyDescent="0.2">
      <c r="J600" s="41"/>
      <c r="K600" s="41"/>
      <c r="L600" s="41"/>
      <c r="M600" s="41"/>
      <c r="N600" s="41"/>
      <c r="O600" s="44"/>
      <c r="P600" s="44"/>
      <c r="Q600" s="44"/>
      <c r="S600" s="41"/>
      <c r="T600" s="41"/>
      <c r="U600" s="41"/>
      <c r="V600" s="41"/>
      <c r="X600" s="44"/>
      <c r="Y600" s="44"/>
      <c r="Z600" s="44"/>
      <c r="AB600" s="41"/>
      <c r="AC600" s="41"/>
      <c r="AD600" s="41"/>
      <c r="AE600" s="41"/>
      <c r="AF600" s="41"/>
      <c r="AG600" s="44"/>
      <c r="AH600" s="44"/>
      <c r="AI600" s="44"/>
    </row>
    <row r="601" spans="10:35" x14ac:dyDescent="0.2">
      <c r="J601" s="41"/>
      <c r="K601" s="41"/>
      <c r="L601" s="41"/>
      <c r="M601" s="41"/>
      <c r="N601" s="41"/>
      <c r="O601" s="44"/>
      <c r="P601" s="44"/>
      <c r="Q601" s="44"/>
      <c r="S601" s="41"/>
      <c r="T601" s="41"/>
      <c r="U601" s="41"/>
      <c r="V601" s="41"/>
      <c r="X601" s="44"/>
      <c r="Y601" s="44"/>
      <c r="Z601" s="44"/>
      <c r="AB601" s="41"/>
      <c r="AC601" s="41"/>
      <c r="AD601" s="41"/>
      <c r="AE601" s="41"/>
      <c r="AF601" s="41"/>
      <c r="AG601" s="44"/>
      <c r="AH601" s="44"/>
      <c r="AI601" s="44"/>
    </row>
    <row r="602" spans="10:35" x14ac:dyDescent="0.2">
      <c r="J602" s="41"/>
      <c r="K602" s="41"/>
      <c r="L602" s="41"/>
      <c r="M602" s="41"/>
      <c r="N602" s="41"/>
      <c r="O602" s="44"/>
      <c r="P602" s="44"/>
      <c r="Q602" s="44"/>
      <c r="S602" s="41"/>
      <c r="T602" s="41"/>
      <c r="U602" s="41"/>
      <c r="V602" s="41"/>
      <c r="X602" s="44"/>
      <c r="Y602" s="44"/>
      <c r="Z602" s="44"/>
      <c r="AB602" s="41"/>
      <c r="AC602" s="41"/>
      <c r="AD602" s="41"/>
      <c r="AE602" s="41"/>
      <c r="AF602" s="41"/>
      <c r="AG602" s="44"/>
      <c r="AH602" s="44"/>
      <c r="AI602" s="44"/>
    </row>
    <row r="603" spans="10:35" x14ac:dyDescent="0.2">
      <c r="J603" s="41"/>
      <c r="K603" s="41"/>
      <c r="L603" s="41"/>
      <c r="M603" s="41"/>
      <c r="N603" s="41"/>
      <c r="O603" s="44"/>
      <c r="P603" s="44"/>
      <c r="Q603" s="44"/>
      <c r="S603" s="41"/>
      <c r="T603" s="41"/>
      <c r="U603" s="41"/>
      <c r="V603" s="41"/>
      <c r="X603" s="44"/>
      <c r="Y603" s="44"/>
      <c r="Z603" s="44"/>
      <c r="AB603" s="41"/>
      <c r="AC603" s="41"/>
      <c r="AD603" s="41"/>
      <c r="AE603" s="41"/>
      <c r="AF603" s="41"/>
      <c r="AG603" s="44"/>
      <c r="AH603" s="44"/>
      <c r="AI603" s="44"/>
    </row>
    <row r="604" spans="10:35" x14ac:dyDescent="0.2">
      <c r="J604" s="41"/>
      <c r="K604" s="41"/>
      <c r="L604" s="41"/>
      <c r="M604" s="41"/>
      <c r="N604" s="41"/>
      <c r="O604" s="44"/>
      <c r="P604" s="44"/>
      <c r="Q604" s="44"/>
      <c r="S604" s="41"/>
      <c r="T604" s="41"/>
      <c r="U604" s="41"/>
      <c r="V604" s="41"/>
      <c r="X604" s="44"/>
      <c r="Y604" s="44"/>
      <c r="Z604" s="44"/>
      <c r="AB604" s="41"/>
      <c r="AC604" s="41"/>
      <c r="AD604" s="41"/>
      <c r="AE604" s="41"/>
      <c r="AF604" s="41"/>
      <c r="AG604" s="44"/>
      <c r="AH604" s="44"/>
      <c r="AI604" s="44"/>
    </row>
    <row r="605" spans="10:35" x14ac:dyDescent="0.2">
      <c r="J605" s="41"/>
      <c r="K605" s="41"/>
      <c r="L605" s="41"/>
      <c r="M605" s="41"/>
      <c r="N605" s="41"/>
      <c r="O605" s="44"/>
      <c r="P605" s="44"/>
      <c r="Q605" s="44"/>
      <c r="S605" s="41"/>
      <c r="T605" s="41"/>
      <c r="U605" s="41"/>
      <c r="V605" s="41"/>
      <c r="X605" s="44"/>
      <c r="Y605" s="44"/>
      <c r="Z605" s="44"/>
      <c r="AB605" s="41"/>
      <c r="AC605" s="41"/>
      <c r="AD605" s="41"/>
      <c r="AE605" s="41"/>
      <c r="AF605" s="41"/>
      <c r="AG605" s="44"/>
      <c r="AH605" s="44"/>
      <c r="AI605" s="44"/>
    </row>
    <row r="606" spans="10:35" x14ac:dyDescent="0.2">
      <c r="J606" s="41"/>
      <c r="K606" s="41"/>
      <c r="L606" s="41"/>
      <c r="M606" s="41"/>
      <c r="N606" s="41"/>
      <c r="O606" s="44"/>
      <c r="P606" s="44"/>
      <c r="Q606" s="44"/>
      <c r="S606" s="41"/>
      <c r="T606" s="41"/>
      <c r="U606" s="41"/>
      <c r="V606" s="41"/>
      <c r="X606" s="44"/>
      <c r="Y606" s="44"/>
      <c r="Z606" s="44"/>
      <c r="AB606" s="41"/>
      <c r="AC606" s="41"/>
      <c r="AD606" s="41"/>
      <c r="AE606" s="41"/>
      <c r="AF606" s="41"/>
      <c r="AG606" s="44"/>
      <c r="AH606" s="44"/>
      <c r="AI606" s="44"/>
    </row>
    <row r="607" spans="10:35" x14ac:dyDescent="0.2">
      <c r="J607" s="41"/>
      <c r="K607" s="41"/>
      <c r="L607" s="41"/>
      <c r="M607" s="41"/>
      <c r="N607" s="41"/>
      <c r="O607" s="44"/>
      <c r="P607" s="44"/>
      <c r="Q607" s="44"/>
      <c r="S607" s="41"/>
      <c r="T607" s="41"/>
      <c r="U607" s="41"/>
      <c r="V607" s="41"/>
      <c r="X607" s="44"/>
      <c r="Y607" s="44"/>
      <c r="Z607" s="44"/>
      <c r="AB607" s="41"/>
      <c r="AC607" s="41"/>
      <c r="AD607" s="41"/>
      <c r="AE607" s="41"/>
      <c r="AF607" s="41"/>
      <c r="AG607" s="44"/>
      <c r="AH607" s="44"/>
      <c r="AI607" s="44"/>
    </row>
    <row r="608" spans="10:35" x14ac:dyDescent="0.2">
      <c r="J608" s="41"/>
      <c r="K608" s="41"/>
      <c r="L608" s="41"/>
      <c r="M608" s="41"/>
      <c r="N608" s="41"/>
      <c r="O608" s="44"/>
      <c r="P608" s="44"/>
      <c r="Q608" s="44"/>
      <c r="S608" s="41"/>
      <c r="T608" s="41"/>
      <c r="U608" s="41"/>
      <c r="V608" s="41"/>
      <c r="X608" s="44"/>
      <c r="Y608" s="44"/>
      <c r="Z608" s="44"/>
      <c r="AB608" s="41"/>
      <c r="AC608" s="41"/>
      <c r="AD608" s="41"/>
      <c r="AE608" s="41"/>
      <c r="AF608" s="41"/>
      <c r="AG608" s="44"/>
      <c r="AH608" s="44"/>
      <c r="AI608" s="44"/>
    </row>
    <row r="609" spans="10:35" x14ac:dyDescent="0.2">
      <c r="J609" s="41"/>
      <c r="K609" s="41"/>
      <c r="L609" s="41"/>
      <c r="M609" s="41"/>
      <c r="N609" s="41"/>
      <c r="O609" s="44"/>
      <c r="P609" s="44"/>
      <c r="Q609" s="44"/>
      <c r="S609" s="41"/>
      <c r="T609" s="41"/>
      <c r="U609" s="41"/>
      <c r="V609" s="41"/>
      <c r="X609" s="44"/>
      <c r="Y609" s="44"/>
      <c r="Z609" s="44"/>
      <c r="AB609" s="41"/>
      <c r="AC609" s="41"/>
      <c r="AD609" s="41"/>
      <c r="AE609" s="41"/>
      <c r="AF609" s="41"/>
      <c r="AG609" s="44"/>
      <c r="AH609" s="44"/>
      <c r="AI609" s="44"/>
    </row>
    <row r="610" spans="10:35" x14ac:dyDescent="0.2">
      <c r="J610" s="41"/>
      <c r="K610" s="41"/>
      <c r="L610" s="41"/>
      <c r="M610" s="41"/>
      <c r="N610" s="41"/>
      <c r="O610" s="44"/>
      <c r="P610" s="44"/>
      <c r="Q610" s="44"/>
      <c r="S610" s="41"/>
      <c r="T610" s="41"/>
      <c r="U610" s="41"/>
      <c r="V610" s="41"/>
      <c r="X610" s="44"/>
      <c r="Y610" s="44"/>
      <c r="Z610" s="44"/>
      <c r="AB610" s="41"/>
      <c r="AC610" s="41"/>
      <c r="AD610" s="41"/>
      <c r="AE610" s="41"/>
      <c r="AF610" s="41"/>
      <c r="AG610" s="44"/>
      <c r="AH610" s="44"/>
      <c r="AI610" s="44"/>
    </row>
    <row r="611" spans="10:35" x14ac:dyDescent="0.2">
      <c r="J611" s="41"/>
      <c r="K611" s="41"/>
      <c r="L611" s="41"/>
      <c r="M611" s="41"/>
      <c r="N611" s="41"/>
      <c r="O611" s="44"/>
      <c r="P611" s="44"/>
      <c r="Q611" s="44"/>
      <c r="S611" s="41"/>
      <c r="T611" s="41"/>
      <c r="U611" s="41"/>
      <c r="V611" s="41"/>
      <c r="X611" s="44"/>
      <c r="Y611" s="44"/>
      <c r="Z611" s="44"/>
      <c r="AB611" s="41"/>
      <c r="AC611" s="41"/>
      <c r="AD611" s="41"/>
      <c r="AE611" s="41"/>
      <c r="AF611" s="41"/>
      <c r="AG611" s="44"/>
      <c r="AH611" s="44"/>
      <c r="AI611" s="44"/>
    </row>
    <row r="612" spans="10:35" x14ac:dyDescent="0.2">
      <c r="J612" s="41"/>
      <c r="K612" s="41"/>
      <c r="L612" s="41"/>
      <c r="M612" s="41"/>
      <c r="N612" s="41"/>
      <c r="O612" s="44"/>
      <c r="P612" s="44"/>
      <c r="Q612" s="44"/>
      <c r="S612" s="41"/>
      <c r="T612" s="41"/>
      <c r="U612" s="41"/>
      <c r="V612" s="41"/>
      <c r="X612" s="44"/>
      <c r="Y612" s="44"/>
      <c r="Z612" s="44"/>
      <c r="AB612" s="41"/>
      <c r="AC612" s="41"/>
      <c r="AD612" s="41"/>
      <c r="AE612" s="41"/>
      <c r="AF612" s="41"/>
      <c r="AG612" s="44"/>
      <c r="AH612" s="44"/>
      <c r="AI612" s="44"/>
    </row>
    <row r="613" spans="10:35" x14ac:dyDescent="0.2">
      <c r="J613" s="41"/>
      <c r="K613" s="41"/>
      <c r="L613" s="41"/>
      <c r="M613" s="41"/>
      <c r="N613" s="41"/>
      <c r="O613" s="44"/>
      <c r="P613" s="44"/>
      <c r="Q613" s="44"/>
      <c r="S613" s="41"/>
      <c r="T613" s="41"/>
      <c r="U613" s="41"/>
      <c r="V613" s="41"/>
      <c r="X613" s="44"/>
      <c r="Y613" s="44"/>
      <c r="Z613" s="44"/>
      <c r="AB613" s="41"/>
      <c r="AC613" s="41"/>
      <c r="AD613" s="41"/>
      <c r="AE613" s="41"/>
      <c r="AF613" s="41"/>
      <c r="AG613" s="44"/>
      <c r="AH613" s="44"/>
      <c r="AI613" s="44"/>
    </row>
    <row r="614" spans="10:35" x14ac:dyDescent="0.2">
      <c r="J614" s="41"/>
      <c r="K614" s="41"/>
      <c r="L614" s="41"/>
      <c r="M614" s="41"/>
      <c r="N614" s="41"/>
      <c r="O614" s="44"/>
      <c r="P614" s="44"/>
      <c r="Q614" s="44"/>
      <c r="S614" s="41"/>
      <c r="T614" s="41"/>
      <c r="U614" s="41"/>
      <c r="V614" s="41"/>
      <c r="X614" s="44"/>
      <c r="Y614" s="44"/>
      <c r="Z614" s="44"/>
      <c r="AB614" s="41"/>
      <c r="AC614" s="41"/>
      <c r="AD614" s="41"/>
      <c r="AE614" s="41"/>
      <c r="AF614" s="41"/>
      <c r="AG614" s="44"/>
      <c r="AH614" s="44"/>
      <c r="AI614" s="44"/>
    </row>
    <row r="615" spans="10:35" x14ac:dyDescent="0.2">
      <c r="J615" s="41"/>
      <c r="K615" s="41"/>
      <c r="L615" s="41"/>
      <c r="M615" s="41"/>
      <c r="N615" s="41"/>
      <c r="O615" s="44"/>
      <c r="P615" s="44"/>
      <c r="Q615" s="44"/>
      <c r="S615" s="41"/>
      <c r="T615" s="41"/>
      <c r="U615" s="41"/>
      <c r="V615" s="41"/>
      <c r="X615" s="44"/>
      <c r="Y615" s="44"/>
      <c r="Z615" s="44"/>
      <c r="AB615" s="41"/>
      <c r="AC615" s="41"/>
      <c r="AD615" s="41"/>
      <c r="AE615" s="41"/>
      <c r="AF615" s="41"/>
      <c r="AG615" s="44"/>
      <c r="AH615" s="44"/>
      <c r="AI615" s="44"/>
    </row>
    <row r="616" spans="10:35" x14ac:dyDescent="0.2">
      <c r="J616" s="41"/>
      <c r="K616" s="41"/>
      <c r="L616" s="41"/>
      <c r="M616" s="41"/>
      <c r="N616" s="41"/>
      <c r="O616" s="44"/>
      <c r="P616" s="44"/>
      <c r="Q616" s="44"/>
      <c r="S616" s="41"/>
      <c r="T616" s="41"/>
      <c r="U616" s="41"/>
      <c r="V616" s="41"/>
      <c r="X616" s="44"/>
      <c r="Y616" s="44"/>
      <c r="Z616" s="44"/>
      <c r="AB616" s="41"/>
      <c r="AC616" s="41"/>
      <c r="AD616" s="41"/>
      <c r="AE616" s="41"/>
      <c r="AF616" s="41"/>
      <c r="AG616" s="44"/>
      <c r="AH616" s="44"/>
      <c r="AI616" s="44"/>
    </row>
    <row r="617" spans="10:35" x14ac:dyDescent="0.2">
      <c r="J617" s="41"/>
      <c r="K617" s="41"/>
      <c r="L617" s="41"/>
      <c r="M617" s="41"/>
      <c r="N617" s="41"/>
      <c r="O617" s="44"/>
      <c r="P617" s="44"/>
      <c r="Q617" s="44"/>
      <c r="S617" s="41"/>
      <c r="T617" s="41"/>
      <c r="U617" s="41"/>
      <c r="V617" s="41"/>
      <c r="X617" s="44"/>
      <c r="Y617" s="44"/>
      <c r="Z617" s="44"/>
      <c r="AB617" s="41"/>
      <c r="AC617" s="41"/>
      <c r="AD617" s="41"/>
      <c r="AE617" s="41"/>
      <c r="AF617" s="41"/>
      <c r="AG617" s="44"/>
      <c r="AH617" s="44"/>
      <c r="AI617" s="44"/>
    </row>
    <row r="618" spans="10:35" x14ac:dyDescent="0.2">
      <c r="J618" s="41"/>
      <c r="K618" s="41"/>
      <c r="L618" s="41"/>
      <c r="M618" s="41"/>
      <c r="N618" s="41"/>
      <c r="O618" s="44"/>
      <c r="P618" s="44"/>
      <c r="Q618" s="44"/>
      <c r="S618" s="41"/>
      <c r="T618" s="41"/>
      <c r="U618" s="41"/>
      <c r="V618" s="41"/>
      <c r="X618" s="44"/>
      <c r="Y618" s="44"/>
      <c r="Z618" s="44"/>
      <c r="AB618" s="41"/>
      <c r="AC618" s="41"/>
      <c r="AD618" s="41"/>
      <c r="AE618" s="41"/>
      <c r="AF618" s="41"/>
      <c r="AG618" s="44"/>
      <c r="AH618" s="44"/>
      <c r="AI618" s="44"/>
    </row>
    <row r="619" spans="10:35" x14ac:dyDescent="0.2">
      <c r="J619" s="41"/>
      <c r="K619" s="41"/>
      <c r="L619" s="41"/>
      <c r="M619" s="41"/>
      <c r="N619" s="41"/>
      <c r="O619" s="44"/>
      <c r="P619" s="44"/>
      <c r="Q619" s="44"/>
      <c r="S619" s="41"/>
      <c r="T619" s="41"/>
      <c r="U619" s="41"/>
      <c r="V619" s="41"/>
      <c r="X619" s="44"/>
      <c r="Y619" s="44"/>
      <c r="Z619" s="44"/>
      <c r="AB619" s="41"/>
      <c r="AC619" s="41"/>
      <c r="AD619" s="41"/>
      <c r="AE619" s="41"/>
      <c r="AF619" s="41"/>
      <c r="AG619" s="44"/>
      <c r="AH619" s="44"/>
      <c r="AI619" s="44"/>
    </row>
    <row r="620" spans="10:35" x14ac:dyDescent="0.2">
      <c r="J620" s="41"/>
      <c r="K620" s="41"/>
      <c r="L620" s="41"/>
      <c r="M620" s="41"/>
      <c r="N620" s="41"/>
      <c r="O620" s="44"/>
      <c r="P620" s="44"/>
      <c r="Q620" s="44"/>
      <c r="S620" s="41"/>
      <c r="T620" s="41"/>
      <c r="U620" s="41"/>
      <c r="V620" s="41"/>
      <c r="X620" s="44"/>
      <c r="Y620" s="44"/>
      <c r="Z620" s="44"/>
      <c r="AB620" s="41"/>
      <c r="AC620" s="41"/>
      <c r="AD620" s="41"/>
      <c r="AE620" s="41"/>
      <c r="AF620" s="41"/>
      <c r="AG620" s="44"/>
      <c r="AH620" s="44"/>
      <c r="AI620" s="44"/>
    </row>
    <row r="621" spans="10:35" x14ac:dyDescent="0.2">
      <c r="J621" s="41"/>
      <c r="K621" s="41"/>
      <c r="L621" s="41"/>
      <c r="M621" s="41"/>
      <c r="N621" s="41"/>
      <c r="O621" s="44"/>
      <c r="P621" s="44"/>
      <c r="Q621" s="44"/>
      <c r="S621" s="41"/>
      <c r="T621" s="41"/>
      <c r="U621" s="41"/>
      <c r="V621" s="41"/>
      <c r="X621" s="44"/>
      <c r="Y621" s="44"/>
      <c r="Z621" s="44"/>
      <c r="AB621" s="41"/>
      <c r="AC621" s="41"/>
      <c r="AD621" s="41"/>
      <c r="AE621" s="41"/>
      <c r="AF621" s="41"/>
      <c r="AG621" s="44"/>
      <c r="AH621" s="44"/>
      <c r="AI621" s="44"/>
    </row>
    <row r="622" spans="10:35" x14ac:dyDescent="0.2">
      <c r="J622" s="41"/>
      <c r="K622" s="41"/>
      <c r="L622" s="41"/>
      <c r="M622" s="41"/>
      <c r="N622" s="41"/>
      <c r="O622" s="44"/>
      <c r="P622" s="44"/>
      <c r="Q622" s="44"/>
      <c r="S622" s="41"/>
      <c r="T622" s="41"/>
      <c r="U622" s="41"/>
      <c r="V622" s="41"/>
      <c r="X622" s="44"/>
      <c r="Y622" s="44"/>
      <c r="Z622" s="44"/>
      <c r="AB622" s="41"/>
      <c r="AC622" s="41"/>
      <c r="AD622" s="41"/>
      <c r="AE622" s="41"/>
      <c r="AF622" s="41"/>
      <c r="AG622" s="44"/>
      <c r="AH622" s="44"/>
      <c r="AI622" s="44"/>
    </row>
    <row r="623" spans="10:35" x14ac:dyDescent="0.2">
      <c r="J623" s="41"/>
      <c r="K623" s="41"/>
      <c r="L623" s="41"/>
      <c r="M623" s="41"/>
      <c r="N623" s="41"/>
      <c r="O623" s="44"/>
      <c r="P623" s="44"/>
      <c r="Q623" s="44"/>
      <c r="S623" s="41"/>
      <c r="T623" s="41"/>
      <c r="U623" s="41"/>
      <c r="V623" s="41"/>
      <c r="X623" s="44"/>
      <c r="Y623" s="44"/>
      <c r="Z623" s="44"/>
      <c r="AB623" s="41"/>
      <c r="AC623" s="41"/>
      <c r="AD623" s="41"/>
      <c r="AE623" s="41"/>
      <c r="AF623" s="41"/>
      <c r="AG623" s="44"/>
      <c r="AH623" s="44"/>
      <c r="AI623" s="44"/>
    </row>
    <row r="624" spans="10:35" x14ac:dyDescent="0.2">
      <c r="J624" s="41"/>
      <c r="K624" s="41"/>
      <c r="L624" s="41"/>
      <c r="M624" s="41"/>
      <c r="N624" s="41"/>
      <c r="O624" s="44"/>
      <c r="P624" s="44"/>
      <c r="Q624" s="44"/>
      <c r="S624" s="41"/>
      <c r="T624" s="41"/>
      <c r="U624" s="41"/>
      <c r="V624" s="41"/>
      <c r="X624" s="44"/>
      <c r="Y624" s="44"/>
      <c r="Z624" s="44"/>
      <c r="AB624" s="41"/>
      <c r="AC624" s="41"/>
      <c r="AD624" s="41"/>
      <c r="AE624" s="41"/>
      <c r="AF624" s="41"/>
      <c r="AG624" s="44"/>
      <c r="AH624" s="44"/>
      <c r="AI624" s="44"/>
    </row>
    <row r="625" spans="10:35" x14ac:dyDescent="0.2">
      <c r="J625" s="41"/>
      <c r="K625" s="41"/>
      <c r="L625" s="41"/>
      <c r="M625" s="41"/>
      <c r="N625" s="41"/>
      <c r="O625" s="44"/>
      <c r="P625" s="44"/>
      <c r="Q625" s="44"/>
      <c r="S625" s="41"/>
      <c r="T625" s="41"/>
      <c r="U625" s="41"/>
      <c r="V625" s="41"/>
      <c r="X625" s="44"/>
      <c r="Y625" s="44"/>
      <c r="Z625" s="44"/>
      <c r="AB625" s="41"/>
      <c r="AC625" s="41"/>
      <c r="AD625" s="41"/>
      <c r="AE625" s="41"/>
      <c r="AF625" s="41"/>
      <c r="AG625" s="44"/>
      <c r="AH625" s="44"/>
      <c r="AI625" s="44"/>
    </row>
    <row r="626" spans="10:35" x14ac:dyDescent="0.2">
      <c r="J626" s="41"/>
      <c r="K626" s="41"/>
      <c r="L626" s="41"/>
      <c r="M626" s="41"/>
      <c r="N626" s="41"/>
      <c r="O626" s="44"/>
      <c r="P626" s="44"/>
      <c r="Q626" s="44"/>
      <c r="S626" s="41"/>
      <c r="T626" s="41"/>
      <c r="U626" s="41"/>
      <c r="V626" s="41"/>
      <c r="X626" s="44"/>
      <c r="Y626" s="44"/>
      <c r="Z626" s="44"/>
      <c r="AB626" s="41"/>
      <c r="AC626" s="41"/>
      <c r="AD626" s="41"/>
      <c r="AE626" s="41"/>
      <c r="AF626" s="41"/>
      <c r="AG626" s="44"/>
      <c r="AH626" s="44"/>
      <c r="AI626" s="44"/>
    </row>
    <row r="627" spans="10:35" x14ac:dyDescent="0.2">
      <c r="J627" s="41"/>
      <c r="K627" s="41"/>
      <c r="L627" s="41"/>
      <c r="M627" s="41"/>
      <c r="N627" s="41"/>
      <c r="O627" s="44"/>
      <c r="P627" s="44"/>
      <c r="Q627" s="44"/>
      <c r="S627" s="41"/>
      <c r="T627" s="41"/>
      <c r="U627" s="41"/>
      <c r="V627" s="41"/>
      <c r="X627" s="44"/>
      <c r="Y627" s="44"/>
      <c r="Z627" s="44"/>
      <c r="AB627" s="41"/>
      <c r="AC627" s="41"/>
      <c r="AD627" s="41"/>
      <c r="AE627" s="41"/>
      <c r="AF627" s="41"/>
      <c r="AG627" s="44"/>
      <c r="AH627" s="44"/>
      <c r="AI627" s="44"/>
    </row>
    <row r="628" spans="10:35" x14ac:dyDescent="0.2">
      <c r="J628" s="41"/>
      <c r="K628" s="41"/>
      <c r="L628" s="41"/>
      <c r="M628" s="41"/>
      <c r="N628" s="41"/>
      <c r="O628" s="44"/>
      <c r="P628" s="44"/>
      <c r="Q628" s="44"/>
      <c r="S628" s="41"/>
      <c r="T628" s="41"/>
      <c r="U628" s="41"/>
      <c r="V628" s="41"/>
      <c r="X628" s="44"/>
      <c r="Y628" s="44"/>
      <c r="Z628" s="44"/>
      <c r="AB628" s="41"/>
      <c r="AC628" s="41"/>
      <c r="AD628" s="41"/>
      <c r="AE628" s="41"/>
      <c r="AF628" s="41"/>
      <c r="AG628" s="44"/>
      <c r="AH628" s="44"/>
      <c r="AI628" s="44"/>
    </row>
    <row r="629" spans="10:35" x14ac:dyDescent="0.2">
      <c r="J629" s="41"/>
      <c r="K629" s="41"/>
      <c r="L629" s="41"/>
      <c r="M629" s="41"/>
      <c r="N629" s="41"/>
      <c r="O629" s="44"/>
      <c r="P629" s="44"/>
      <c r="Q629" s="44"/>
      <c r="S629" s="41"/>
      <c r="T629" s="41"/>
      <c r="U629" s="41"/>
      <c r="V629" s="41"/>
      <c r="X629" s="44"/>
      <c r="Y629" s="44"/>
      <c r="Z629" s="44"/>
      <c r="AB629" s="41"/>
      <c r="AC629" s="41"/>
      <c r="AD629" s="41"/>
      <c r="AE629" s="41"/>
      <c r="AF629" s="41"/>
      <c r="AG629" s="44"/>
      <c r="AH629" s="44"/>
      <c r="AI629" s="44"/>
    </row>
    <row r="630" spans="10:35" x14ac:dyDescent="0.2">
      <c r="J630" s="41"/>
      <c r="K630" s="41"/>
      <c r="L630" s="41"/>
      <c r="M630" s="41"/>
      <c r="N630" s="41"/>
      <c r="O630" s="44"/>
      <c r="P630" s="44"/>
      <c r="Q630" s="44"/>
      <c r="S630" s="41"/>
      <c r="T630" s="41"/>
      <c r="U630" s="41"/>
      <c r="V630" s="41"/>
      <c r="X630" s="44"/>
      <c r="Y630" s="44"/>
      <c r="Z630" s="44"/>
      <c r="AB630" s="41"/>
      <c r="AC630" s="41"/>
      <c r="AD630" s="41"/>
      <c r="AE630" s="41"/>
      <c r="AF630" s="41"/>
      <c r="AG630" s="44"/>
      <c r="AH630" s="44"/>
      <c r="AI630" s="44"/>
    </row>
    <row r="631" spans="10:35" x14ac:dyDescent="0.2">
      <c r="J631" s="41"/>
      <c r="K631" s="41"/>
      <c r="L631" s="41"/>
      <c r="M631" s="41"/>
      <c r="N631" s="41"/>
      <c r="O631" s="44"/>
      <c r="P631" s="44"/>
      <c r="Q631" s="44"/>
      <c r="S631" s="41"/>
      <c r="T631" s="41"/>
      <c r="U631" s="41"/>
      <c r="V631" s="41"/>
      <c r="X631" s="44"/>
      <c r="Y631" s="44"/>
      <c r="Z631" s="44"/>
      <c r="AB631" s="41"/>
      <c r="AC631" s="41"/>
      <c r="AD631" s="41"/>
      <c r="AE631" s="41"/>
      <c r="AF631" s="41"/>
      <c r="AG631" s="44"/>
      <c r="AH631" s="44"/>
      <c r="AI631" s="44"/>
    </row>
    <row r="632" spans="10:35" x14ac:dyDescent="0.2">
      <c r="J632" s="41"/>
      <c r="K632" s="41"/>
      <c r="L632" s="41"/>
      <c r="M632" s="41"/>
      <c r="N632" s="41"/>
      <c r="O632" s="44"/>
      <c r="P632" s="44"/>
      <c r="Q632" s="44"/>
      <c r="S632" s="41"/>
      <c r="T632" s="41"/>
      <c r="U632" s="41"/>
      <c r="V632" s="41"/>
      <c r="X632" s="44"/>
      <c r="Y632" s="44"/>
      <c r="Z632" s="44"/>
      <c r="AB632" s="41"/>
      <c r="AC632" s="41"/>
      <c r="AD632" s="41"/>
      <c r="AE632" s="41"/>
      <c r="AF632" s="41"/>
      <c r="AG632" s="44"/>
      <c r="AH632" s="44"/>
      <c r="AI632" s="44"/>
    </row>
    <row r="633" spans="10:35" x14ac:dyDescent="0.2">
      <c r="J633" s="41"/>
      <c r="K633" s="41"/>
      <c r="L633" s="41"/>
      <c r="M633" s="41"/>
      <c r="N633" s="41"/>
      <c r="O633" s="44"/>
      <c r="P633" s="44"/>
      <c r="Q633" s="44"/>
      <c r="S633" s="41"/>
      <c r="T633" s="41"/>
      <c r="U633" s="41"/>
      <c r="V633" s="41"/>
      <c r="X633" s="44"/>
      <c r="Y633" s="44"/>
      <c r="Z633" s="44"/>
      <c r="AB633" s="41"/>
      <c r="AC633" s="41"/>
      <c r="AD633" s="41"/>
      <c r="AE633" s="41"/>
      <c r="AF633" s="41"/>
      <c r="AG633" s="44"/>
      <c r="AH633" s="44"/>
      <c r="AI633" s="44"/>
    </row>
    <row r="634" spans="10:35" x14ac:dyDescent="0.2">
      <c r="J634" s="41"/>
      <c r="K634" s="41"/>
      <c r="L634" s="41"/>
      <c r="M634" s="41"/>
      <c r="N634" s="41"/>
      <c r="O634" s="44"/>
      <c r="P634" s="44"/>
      <c r="Q634" s="44"/>
      <c r="S634" s="41"/>
      <c r="T634" s="41"/>
      <c r="U634" s="41"/>
      <c r="V634" s="41"/>
      <c r="X634" s="44"/>
      <c r="Y634" s="44"/>
      <c r="Z634" s="44"/>
      <c r="AB634" s="41"/>
      <c r="AC634" s="41"/>
      <c r="AD634" s="41"/>
      <c r="AE634" s="41"/>
      <c r="AF634" s="41"/>
      <c r="AG634" s="44"/>
      <c r="AH634" s="44"/>
      <c r="AI634" s="44"/>
    </row>
    <row r="635" spans="10:35" x14ac:dyDescent="0.2">
      <c r="J635" s="41"/>
      <c r="K635" s="41"/>
      <c r="L635" s="41"/>
      <c r="M635" s="41"/>
      <c r="N635" s="41"/>
      <c r="O635" s="44"/>
      <c r="P635" s="44"/>
      <c r="Q635" s="44"/>
      <c r="S635" s="41"/>
      <c r="T635" s="41"/>
      <c r="U635" s="41"/>
      <c r="V635" s="41"/>
      <c r="X635" s="44"/>
      <c r="Y635" s="44"/>
      <c r="Z635" s="44"/>
      <c r="AB635" s="41"/>
      <c r="AC635" s="41"/>
      <c r="AD635" s="41"/>
      <c r="AE635" s="41"/>
      <c r="AF635" s="41"/>
      <c r="AG635" s="44"/>
      <c r="AH635" s="44"/>
      <c r="AI635" s="44"/>
    </row>
    <row r="636" spans="10:35" x14ac:dyDescent="0.2">
      <c r="J636" s="41"/>
      <c r="K636" s="41"/>
      <c r="L636" s="41"/>
      <c r="M636" s="41"/>
      <c r="N636" s="41"/>
      <c r="O636" s="44"/>
      <c r="P636" s="44"/>
      <c r="Q636" s="44"/>
      <c r="S636" s="41"/>
      <c r="T636" s="41"/>
      <c r="U636" s="41"/>
      <c r="V636" s="41"/>
      <c r="X636" s="44"/>
      <c r="Y636" s="44"/>
      <c r="Z636" s="44"/>
      <c r="AB636" s="41"/>
      <c r="AC636" s="41"/>
      <c r="AD636" s="41"/>
      <c r="AE636" s="41"/>
      <c r="AF636" s="41"/>
      <c r="AG636" s="44"/>
      <c r="AH636" s="44"/>
      <c r="AI636" s="44"/>
    </row>
    <row r="637" spans="10:35" x14ac:dyDescent="0.2">
      <c r="J637" s="41"/>
      <c r="K637" s="41"/>
      <c r="L637" s="41"/>
      <c r="M637" s="41"/>
      <c r="N637" s="41"/>
      <c r="O637" s="44"/>
      <c r="P637" s="44"/>
      <c r="Q637" s="44"/>
      <c r="S637" s="41"/>
      <c r="T637" s="41"/>
      <c r="U637" s="41"/>
      <c r="V637" s="41"/>
      <c r="X637" s="44"/>
      <c r="Y637" s="44"/>
      <c r="Z637" s="44"/>
      <c r="AB637" s="41"/>
      <c r="AC637" s="41"/>
      <c r="AD637" s="41"/>
      <c r="AE637" s="41"/>
      <c r="AF637" s="41"/>
      <c r="AG637" s="44"/>
      <c r="AH637" s="44"/>
      <c r="AI637" s="44"/>
    </row>
    <row r="638" spans="10:35" x14ac:dyDescent="0.2">
      <c r="J638" s="41"/>
      <c r="K638" s="41"/>
      <c r="L638" s="41"/>
      <c r="M638" s="41"/>
      <c r="N638" s="41"/>
      <c r="O638" s="44"/>
      <c r="P638" s="44"/>
      <c r="Q638" s="44"/>
      <c r="S638" s="41"/>
      <c r="T638" s="41"/>
      <c r="U638" s="41"/>
      <c r="V638" s="41"/>
      <c r="X638" s="44"/>
      <c r="Y638" s="44"/>
      <c r="Z638" s="44"/>
      <c r="AB638" s="41"/>
      <c r="AC638" s="41"/>
      <c r="AD638" s="41"/>
      <c r="AE638" s="41"/>
      <c r="AF638" s="41"/>
      <c r="AG638" s="44"/>
      <c r="AH638" s="44"/>
      <c r="AI638" s="44"/>
    </row>
    <row r="639" spans="10:35" x14ac:dyDescent="0.2">
      <c r="J639" s="41"/>
      <c r="K639" s="41"/>
      <c r="L639" s="41"/>
      <c r="M639" s="41"/>
      <c r="N639" s="41"/>
      <c r="O639" s="44"/>
      <c r="P639" s="44"/>
      <c r="Q639" s="44"/>
      <c r="S639" s="41"/>
      <c r="T639" s="41"/>
      <c r="U639" s="41"/>
      <c r="V639" s="41"/>
      <c r="X639" s="44"/>
      <c r="Y639" s="44"/>
      <c r="Z639" s="44"/>
      <c r="AB639" s="41"/>
      <c r="AC639" s="41"/>
      <c r="AD639" s="41"/>
      <c r="AE639" s="41"/>
      <c r="AF639" s="41"/>
      <c r="AG639" s="44"/>
      <c r="AH639" s="44"/>
      <c r="AI639" s="44"/>
    </row>
    <row r="640" spans="10:35" x14ac:dyDescent="0.2">
      <c r="J640" s="41"/>
      <c r="K640" s="41"/>
      <c r="L640" s="41"/>
      <c r="M640" s="41"/>
      <c r="N640" s="41"/>
      <c r="O640" s="44"/>
      <c r="P640" s="44"/>
      <c r="Q640" s="44"/>
      <c r="S640" s="41"/>
      <c r="T640" s="41"/>
      <c r="U640" s="41"/>
      <c r="V640" s="41"/>
      <c r="X640" s="44"/>
      <c r="Y640" s="44"/>
      <c r="Z640" s="44"/>
      <c r="AB640" s="41"/>
      <c r="AC640" s="41"/>
      <c r="AD640" s="41"/>
      <c r="AE640" s="41"/>
      <c r="AF640" s="41"/>
      <c r="AG640" s="44"/>
      <c r="AH640" s="44"/>
      <c r="AI640" s="44"/>
    </row>
    <row r="641" spans="10:35" x14ac:dyDescent="0.2">
      <c r="J641" s="41"/>
      <c r="K641" s="41"/>
      <c r="L641" s="41"/>
      <c r="M641" s="41"/>
      <c r="N641" s="41"/>
      <c r="O641" s="44"/>
      <c r="P641" s="44"/>
      <c r="Q641" s="44"/>
      <c r="S641" s="41"/>
      <c r="T641" s="41"/>
      <c r="U641" s="41"/>
      <c r="V641" s="41"/>
      <c r="X641" s="44"/>
      <c r="Y641" s="44"/>
      <c r="Z641" s="44"/>
      <c r="AB641" s="41"/>
      <c r="AC641" s="41"/>
      <c r="AD641" s="41"/>
      <c r="AE641" s="41"/>
      <c r="AF641" s="41"/>
      <c r="AG641" s="44"/>
      <c r="AH641" s="44"/>
      <c r="AI641" s="44"/>
    </row>
    <row r="642" spans="10:35" x14ac:dyDescent="0.2">
      <c r="J642" s="41"/>
      <c r="K642" s="41"/>
      <c r="L642" s="41"/>
      <c r="M642" s="41"/>
      <c r="N642" s="41"/>
      <c r="O642" s="44"/>
      <c r="P642" s="44"/>
      <c r="Q642" s="44"/>
      <c r="S642" s="41"/>
      <c r="T642" s="41"/>
      <c r="U642" s="41"/>
      <c r="V642" s="41"/>
      <c r="X642" s="44"/>
      <c r="Y642" s="44"/>
      <c r="Z642" s="44"/>
      <c r="AB642" s="41"/>
      <c r="AC642" s="41"/>
      <c r="AD642" s="41"/>
      <c r="AE642" s="41"/>
      <c r="AF642" s="41"/>
      <c r="AG642" s="44"/>
      <c r="AH642" s="44"/>
      <c r="AI642" s="44"/>
    </row>
    <row r="643" spans="10:35" x14ac:dyDescent="0.2">
      <c r="J643" s="41"/>
      <c r="K643" s="41"/>
      <c r="L643" s="41"/>
      <c r="M643" s="41"/>
      <c r="N643" s="41"/>
      <c r="O643" s="44"/>
      <c r="P643" s="44"/>
      <c r="Q643" s="44"/>
      <c r="S643" s="41"/>
      <c r="T643" s="41"/>
      <c r="U643" s="41"/>
      <c r="V643" s="41"/>
      <c r="X643" s="44"/>
      <c r="Y643" s="44"/>
      <c r="Z643" s="44"/>
      <c r="AB643" s="41"/>
      <c r="AC643" s="41"/>
      <c r="AD643" s="41"/>
      <c r="AE643" s="41"/>
      <c r="AF643" s="41"/>
      <c r="AG643" s="44"/>
      <c r="AH643" s="44"/>
      <c r="AI643" s="44"/>
    </row>
    <row r="644" spans="10:35" x14ac:dyDescent="0.2">
      <c r="J644" s="41"/>
      <c r="K644" s="41"/>
      <c r="L644" s="41"/>
      <c r="M644" s="41"/>
      <c r="N644" s="41"/>
      <c r="O644" s="44"/>
      <c r="P644" s="44"/>
      <c r="Q644" s="44"/>
      <c r="S644" s="41"/>
      <c r="T644" s="41"/>
      <c r="U644" s="41"/>
      <c r="V644" s="41"/>
      <c r="X644" s="44"/>
      <c r="Y644" s="44"/>
      <c r="Z644" s="44"/>
      <c r="AB644" s="41"/>
      <c r="AC644" s="41"/>
      <c r="AD644" s="41"/>
      <c r="AE644" s="41"/>
      <c r="AF644" s="41"/>
      <c r="AG644" s="44"/>
      <c r="AH644" s="44"/>
      <c r="AI644" s="44"/>
    </row>
    <row r="645" spans="10:35" x14ac:dyDescent="0.2">
      <c r="J645" s="41"/>
      <c r="K645" s="41"/>
      <c r="L645" s="41"/>
      <c r="M645" s="41"/>
      <c r="N645" s="41"/>
      <c r="O645" s="44"/>
      <c r="P645" s="44"/>
      <c r="Q645" s="44"/>
      <c r="S645" s="41"/>
      <c r="T645" s="41"/>
      <c r="U645" s="41"/>
      <c r="V645" s="41"/>
      <c r="X645" s="44"/>
      <c r="Y645" s="44"/>
      <c r="Z645" s="44"/>
      <c r="AB645" s="41"/>
      <c r="AC645" s="41"/>
      <c r="AD645" s="41"/>
      <c r="AE645" s="41"/>
      <c r="AF645" s="41"/>
      <c r="AG645" s="44"/>
      <c r="AH645" s="44"/>
      <c r="AI645" s="44"/>
    </row>
    <row r="646" spans="10:35" x14ac:dyDescent="0.2">
      <c r="J646" s="41"/>
      <c r="K646" s="41"/>
      <c r="L646" s="41"/>
      <c r="M646" s="41"/>
      <c r="N646" s="41"/>
      <c r="O646" s="44"/>
      <c r="P646" s="44"/>
      <c r="Q646" s="44"/>
      <c r="S646" s="41"/>
      <c r="T646" s="41"/>
      <c r="U646" s="41"/>
      <c r="V646" s="41"/>
      <c r="X646" s="44"/>
      <c r="Y646" s="44"/>
      <c r="Z646" s="44"/>
      <c r="AB646" s="41"/>
      <c r="AC646" s="41"/>
      <c r="AD646" s="41"/>
      <c r="AE646" s="41"/>
      <c r="AF646" s="41"/>
      <c r="AG646" s="44"/>
      <c r="AH646" s="44"/>
      <c r="AI646" s="44"/>
    </row>
    <row r="647" spans="10:35" x14ac:dyDescent="0.2">
      <c r="J647" s="41"/>
      <c r="K647" s="41"/>
      <c r="L647" s="41"/>
      <c r="M647" s="41"/>
      <c r="N647" s="41"/>
      <c r="O647" s="44"/>
      <c r="P647" s="44"/>
      <c r="Q647" s="44"/>
      <c r="S647" s="41"/>
      <c r="T647" s="41"/>
      <c r="U647" s="41"/>
      <c r="V647" s="41"/>
      <c r="X647" s="44"/>
      <c r="Y647" s="44"/>
      <c r="Z647" s="44"/>
      <c r="AB647" s="41"/>
      <c r="AC647" s="41"/>
      <c r="AD647" s="41"/>
      <c r="AE647" s="41"/>
      <c r="AF647" s="41"/>
      <c r="AG647" s="44"/>
      <c r="AH647" s="44"/>
      <c r="AI647" s="44"/>
    </row>
    <row r="648" spans="10:35" x14ac:dyDescent="0.2">
      <c r="J648" s="41"/>
      <c r="K648" s="41"/>
      <c r="L648" s="41"/>
      <c r="M648" s="41"/>
      <c r="N648" s="41"/>
      <c r="O648" s="44"/>
      <c r="P648" s="44"/>
      <c r="Q648" s="44"/>
      <c r="S648" s="41"/>
      <c r="T648" s="41"/>
      <c r="U648" s="41"/>
      <c r="V648" s="41"/>
      <c r="X648" s="44"/>
      <c r="Y648" s="44"/>
      <c r="Z648" s="44"/>
      <c r="AB648" s="41"/>
      <c r="AC648" s="41"/>
      <c r="AD648" s="41"/>
      <c r="AE648" s="41"/>
      <c r="AF648" s="41"/>
      <c r="AG648" s="44"/>
      <c r="AH648" s="44"/>
      <c r="AI648" s="44"/>
    </row>
    <row r="649" spans="10:35" x14ac:dyDescent="0.2">
      <c r="J649" s="41"/>
      <c r="K649" s="41"/>
      <c r="L649" s="41"/>
      <c r="M649" s="41"/>
      <c r="N649" s="41"/>
      <c r="O649" s="44"/>
      <c r="P649" s="44"/>
      <c r="Q649" s="44"/>
      <c r="S649" s="41"/>
      <c r="T649" s="41"/>
      <c r="U649" s="41"/>
      <c r="V649" s="41"/>
      <c r="X649" s="44"/>
      <c r="Y649" s="44"/>
      <c r="Z649" s="44"/>
      <c r="AB649" s="41"/>
      <c r="AC649" s="41"/>
      <c r="AD649" s="41"/>
      <c r="AE649" s="41"/>
      <c r="AF649" s="41"/>
      <c r="AG649" s="44"/>
      <c r="AH649" s="44"/>
      <c r="AI649" s="44"/>
    </row>
    <row r="650" spans="10:35" x14ac:dyDescent="0.2">
      <c r="J650" s="41"/>
      <c r="K650" s="41"/>
      <c r="L650" s="41"/>
      <c r="M650" s="41"/>
      <c r="N650" s="41"/>
      <c r="O650" s="44"/>
      <c r="P650" s="44"/>
      <c r="Q650" s="44"/>
      <c r="S650" s="41"/>
      <c r="T650" s="41"/>
      <c r="U650" s="41"/>
      <c r="V650" s="41"/>
      <c r="X650" s="44"/>
      <c r="Y650" s="44"/>
      <c r="Z650" s="44"/>
      <c r="AB650" s="41"/>
      <c r="AC650" s="41"/>
      <c r="AD650" s="41"/>
      <c r="AE650" s="41"/>
      <c r="AF650" s="41"/>
      <c r="AG650" s="44"/>
      <c r="AH650" s="44"/>
      <c r="AI650" s="44"/>
    </row>
    <row r="651" spans="10:35" x14ac:dyDescent="0.2">
      <c r="J651" s="41"/>
      <c r="K651" s="41"/>
      <c r="L651" s="41"/>
      <c r="M651" s="41"/>
      <c r="N651" s="41"/>
      <c r="O651" s="44"/>
      <c r="P651" s="44"/>
      <c r="Q651" s="44"/>
      <c r="S651" s="41"/>
      <c r="T651" s="41"/>
      <c r="U651" s="41"/>
      <c r="V651" s="41"/>
      <c r="X651" s="44"/>
      <c r="Y651" s="44"/>
      <c r="Z651" s="44"/>
      <c r="AB651" s="41"/>
      <c r="AC651" s="41"/>
      <c r="AD651" s="41"/>
      <c r="AE651" s="41"/>
      <c r="AF651" s="41"/>
      <c r="AG651" s="44"/>
      <c r="AH651" s="44"/>
      <c r="AI651" s="44"/>
    </row>
    <row r="652" spans="10:35" x14ac:dyDescent="0.2">
      <c r="J652" s="41"/>
      <c r="K652" s="41"/>
      <c r="L652" s="41"/>
      <c r="M652" s="41"/>
      <c r="N652" s="41"/>
      <c r="O652" s="44"/>
      <c r="P652" s="44"/>
      <c r="Q652" s="44"/>
      <c r="S652" s="41"/>
      <c r="T652" s="41"/>
      <c r="U652" s="41"/>
      <c r="V652" s="41"/>
      <c r="X652" s="44"/>
      <c r="Y652" s="44"/>
      <c r="Z652" s="44"/>
      <c r="AB652" s="41"/>
      <c r="AC652" s="41"/>
      <c r="AD652" s="41"/>
      <c r="AE652" s="41"/>
      <c r="AF652" s="41"/>
      <c r="AG652" s="44"/>
      <c r="AH652" s="44"/>
      <c r="AI652" s="44"/>
    </row>
    <row r="653" spans="10:35" x14ac:dyDescent="0.2">
      <c r="J653" s="41"/>
      <c r="K653" s="41"/>
      <c r="L653" s="41"/>
      <c r="M653" s="41"/>
      <c r="N653" s="41"/>
      <c r="O653" s="44"/>
      <c r="P653" s="44"/>
      <c r="Q653" s="44"/>
      <c r="S653" s="41"/>
      <c r="T653" s="41"/>
      <c r="U653" s="41"/>
      <c r="V653" s="41"/>
      <c r="X653" s="44"/>
      <c r="Y653" s="44"/>
      <c r="Z653" s="44"/>
      <c r="AB653" s="41"/>
      <c r="AC653" s="41"/>
      <c r="AD653" s="41"/>
      <c r="AE653" s="41"/>
      <c r="AF653" s="41"/>
      <c r="AG653" s="44"/>
      <c r="AH653" s="44"/>
      <c r="AI653" s="44"/>
    </row>
    <row r="654" spans="10:35" x14ac:dyDescent="0.2">
      <c r="J654" s="41"/>
      <c r="K654" s="41"/>
      <c r="L654" s="41"/>
      <c r="M654" s="41"/>
      <c r="N654" s="41"/>
      <c r="O654" s="44"/>
      <c r="P654" s="44"/>
      <c r="Q654" s="44"/>
      <c r="S654" s="41"/>
      <c r="T654" s="41"/>
      <c r="U654" s="41"/>
      <c r="V654" s="41"/>
      <c r="X654" s="44"/>
      <c r="Y654" s="44"/>
      <c r="Z654" s="44"/>
      <c r="AB654" s="41"/>
      <c r="AC654" s="41"/>
      <c r="AD654" s="41"/>
      <c r="AE654" s="41"/>
      <c r="AF654" s="41"/>
      <c r="AG654" s="44"/>
      <c r="AH654" s="44"/>
      <c r="AI654" s="44"/>
    </row>
    <row r="655" spans="10:35" x14ac:dyDescent="0.2">
      <c r="J655" s="41"/>
      <c r="K655" s="41"/>
      <c r="L655" s="41"/>
      <c r="M655" s="41"/>
      <c r="N655" s="41"/>
      <c r="O655" s="44"/>
      <c r="P655" s="44"/>
      <c r="Q655" s="44"/>
      <c r="S655" s="41"/>
      <c r="T655" s="41"/>
      <c r="U655" s="41"/>
      <c r="V655" s="41"/>
      <c r="X655" s="44"/>
      <c r="Y655" s="44"/>
      <c r="Z655" s="44"/>
      <c r="AB655" s="41"/>
      <c r="AC655" s="41"/>
      <c r="AD655" s="41"/>
      <c r="AE655" s="41"/>
      <c r="AF655" s="41"/>
      <c r="AG655" s="44"/>
      <c r="AH655" s="44"/>
      <c r="AI655" s="44"/>
    </row>
    <row r="656" spans="10:35" x14ac:dyDescent="0.2">
      <c r="J656" s="41"/>
      <c r="K656" s="41"/>
      <c r="L656" s="41"/>
      <c r="M656" s="41"/>
      <c r="N656" s="41"/>
      <c r="O656" s="44"/>
      <c r="P656" s="44"/>
      <c r="Q656" s="44"/>
      <c r="S656" s="41"/>
      <c r="T656" s="41"/>
      <c r="U656" s="41"/>
      <c r="V656" s="41"/>
      <c r="X656" s="44"/>
      <c r="Y656" s="44"/>
      <c r="Z656" s="44"/>
      <c r="AB656" s="41"/>
      <c r="AC656" s="41"/>
      <c r="AD656" s="41"/>
      <c r="AE656" s="41"/>
      <c r="AF656" s="41"/>
      <c r="AG656" s="44"/>
      <c r="AH656" s="44"/>
      <c r="AI656" s="44"/>
    </row>
    <row r="657" spans="10:35" x14ac:dyDescent="0.2">
      <c r="J657" s="41"/>
      <c r="K657" s="41"/>
      <c r="L657" s="41"/>
      <c r="M657" s="41"/>
      <c r="N657" s="41"/>
      <c r="O657" s="44"/>
      <c r="P657" s="44"/>
      <c r="Q657" s="44"/>
      <c r="S657" s="41"/>
      <c r="T657" s="41"/>
      <c r="U657" s="41"/>
      <c r="V657" s="41"/>
      <c r="X657" s="44"/>
      <c r="Y657" s="44"/>
      <c r="Z657" s="44"/>
      <c r="AB657" s="41"/>
      <c r="AC657" s="41"/>
      <c r="AD657" s="41"/>
      <c r="AE657" s="41"/>
      <c r="AF657" s="41"/>
      <c r="AG657" s="44"/>
      <c r="AH657" s="44"/>
      <c r="AI657" s="44"/>
    </row>
    <row r="658" spans="10:35" x14ac:dyDescent="0.2">
      <c r="J658" s="41"/>
      <c r="K658" s="41"/>
      <c r="L658" s="41"/>
      <c r="M658" s="41"/>
      <c r="N658" s="41"/>
      <c r="O658" s="44"/>
      <c r="P658" s="44"/>
      <c r="Q658" s="44"/>
      <c r="S658" s="41"/>
      <c r="T658" s="41"/>
      <c r="U658" s="41"/>
      <c r="V658" s="41"/>
      <c r="X658" s="44"/>
      <c r="Y658" s="44"/>
      <c r="Z658" s="44"/>
      <c r="AB658" s="41"/>
      <c r="AC658" s="41"/>
      <c r="AD658" s="41"/>
      <c r="AE658" s="41"/>
      <c r="AF658" s="41"/>
      <c r="AG658" s="44"/>
      <c r="AH658" s="44"/>
      <c r="AI658" s="44"/>
    </row>
    <row r="659" spans="10:35" x14ac:dyDescent="0.2">
      <c r="J659" s="41"/>
      <c r="K659" s="41"/>
      <c r="L659" s="41"/>
      <c r="M659" s="41"/>
      <c r="N659" s="41"/>
      <c r="O659" s="44"/>
      <c r="P659" s="44"/>
      <c r="Q659" s="44"/>
      <c r="S659" s="41"/>
      <c r="T659" s="41"/>
      <c r="U659" s="41"/>
      <c r="V659" s="41"/>
      <c r="X659" s="44"/>
      <c r="Y659" s="44"/>
      <c r="Z659" s="44"/>
      <c r="AB659" s="41"/>
      <c r="AC659" s="41"/>
      <c r="AD659" s="41"/>
      <c r="AE659" s="41"/>
      <c r="AF659" s="41"/>
      <c r="AG659" s="44"/>
      <c r="AH659" s="44"/>
      <c r="AI659" s="44"/>
    </row>
    <row r="660" spans="10:35" x14ac:dyDescent="0.2">
      <c r="J660" s="41"/>
      <c r="K660" s="41"/>
      <c r="L660" s="41"/>
      <c r="M660" s="41"/>
      <c r="N660" s="41"/>
      <c r="O660" s="44"/>
      <c r="P660" s="44"/>
      <c r="Q660" s="44"/>
      <c r="S660" s="41"/>
      <c r="T660" s="41"/>
      <c r="U660" s="41"/>
      <c r="V660" s="41"/>
      <c r="X660" s="44"/>
      <c r="Y660" s="44"/>
      <c r="Z660" s="44"/>
      <c r="AB660" s="41"/>
      <c r="AC660" s="41"/>
      <c r="AD660" s="41"/>
      <c r="AE660" s="41"/>
      <c r="AF660" s="41"/>
      <c r="AG660" s="44"/>
      <c r="AH660" s="44"/>
      <c r="AI660" s="44"/>
    </row>
    <row r="661" spans="10:35" x14ac:dyDescent="0.2">
      <c r="J661" s="41"/>
      <c r="K661" s="41"/>
      <c r="L661" s="41"/>
      <c r="M661" s="41"/>
      <c r="N661" s="41"/>
      <c r="O661" s="44"/>
      <c r="P661" s="44"/>
      <c r="Q661" s="44"/>
      <c r="S661" s="41"/>
      <c r="T661" s="41"/>
      <c r="U661" s="41"/>
      <c r="V661" s="41"/>
      <c r="X661" s="44"/>
      <c r="Y661" s="44"/>
      <c r="Z661" s="44"/>
      <c r="AB661" s="41"/>
      <c r="AC661" s="41"/>
      <c r="AD661" s="41"/>
      <c r="AE661" s="41"/>
      <c r="AF661" s="41"/>
      <c r="AG661" s="44"/>
      <c r="AH661" s="44"/>
      <c r="AI661" s="44"/>
    </row>
    <row r="662" spans="10:35" x14ac:dyDescent="0.2">
      <c r="J662" s="41"/>
      <c r="K662" s="41"/>
      <c r="L662" s="41"/>
      <c r="M662" s="41"/>
      <c r="N662" s="41"/>
      <c r="O662" s="44"/>
      <c r="P662" s="44"/>
      <c r="Q662" s="44"/>
      <c r="S662" s="41"/>
      <c r="T662" s="41"/>
      <c r="U662" s="41"/>
      <c r="V662" s="41"/>
      <c r="X662" s="44"/>
      <c r="Y662" s="44"/>
      <c r="Z662" s="44"/>
      <c r="AB662" s="41"/>
      <c r="AC662" s="41"/>
      <c r="AD662" s="41"/>
      <c r="AE662" s="41"/>
      <c r="AF662" s="41"/>
      <c r="AG662" s="44"/>
      <c r="AH662" s="44"/>
      <c r="AI662" s="44"/>
    </row>
    <row r="663" spans="10:35" x14ac:dyDescent="0.2">
      <c r="J663" s="41"/>
      <c r="K663" s="41"/>
      <c r="L663" s="41"/>
      <c r="M663" s="41"/>
      <c r="N663" s="41"/>
      <c r="O663" s="44"/>
      <c r="P663" s="44"/>
      <c r="Q663" s="44"/>
      <c r="S663" s="41"/>
      <c r="T663" s="41"/>
      <c r="U663" s="41"/>
      <c r="V663" s="41"/>
      <c r="X663" s="44"/>
      <c r="Y663" s="44"/>
      <c r="Z663" s="44"/>
      <c r="AB663" s="41"/>
      <c r="AC663" s="41"/>
      <c r="AD663" s="41"/>
      <c r="AE663" s="41"/>
      <c r="AF663" s="41"/>
      <c r="AG663" s="44"/>
      <c r="AH663" s="44"/>
      <c r="AI663" s="44"/>
    </row>
    <row r="664" spans="10:35" x14ac:dyDescent="0.2">
      <c r="J664" s="41"/>
      <c r="K664" s="41"/>
      <c r="L664" s="41"/>
      <c r="M664" s="41"/>
      <c r="N664" s="41"/>
      <c r="O664" s="44"/>
      <c r="P664" s="44"/>
      <c r="Q664" s="44"/>
      <c r="S664" s="41"/>
      <c r="T664" s="41"/>
      <c r="U664" s="41"/>
      <c r="V664" s="41"/>
      <c r="X664" s="44"/>
      <c r="Y664" s="44"/>
      <c r="Z664" s="44"/>
      <c r="AB664" s="41"/>
      <c r="AC664" s="41"/>
      <c r="AD664" s="41"/>
      <c r="AE664" s="41"/>
      <c r="AF664" s="41"/>
      <c r="AG664" s="44"/>
      <c r="AH664" s="44"/>
      <c r="AI664" s="44"/>
    </row>
    <row r="665" spans="10:35" x14ac:dyDescent="0.2">
      <c r="J665" s="41"/>
      <c r="K665" s="41"/>
      <c r="L665" s="41"/>
      <c r="M665" s="41"/>
      <c r="N665" s="41"/>
      <c r="O665" s="44"/>
      <c r="P665" s="44"/>
      <c r="Q665" s="44"/>
      <c r="S665" s="41"/>
      <c r="T665" s="41"/>
      <c r="U665" s="41"/>
      <c r="V665" s="41"/>
      <c r="X665" s="44"/>
      <c r="Y665" s="44"/>
      <c r="Z665" s="44"/>
      <c r="AB665" s="41"/>
      <c r="AC665" s="41"/>
      <c r="AD665" s="41"/>
      <c r="AE665" s="41"/>
      <c r="AF665" s="41"/>
      <c r="AG665" s="44"/>
      <c r="AH665" s="44"/>
      <c r="AI665" s="44"/>
    </row>
    <row r="666" spans="10:35" x14ac:dyDescent="0.2">
      <c r="J666" s="41"/>
      <c r="K666" s="41"/>
      <c r="L666" s="41"/>
      <c r="M666" s="41"/>
      <c r="N666" s="41"/>
      <c r="O666" s="44"/>
      <c r="P666" s="44"/>
      <c r="Q666" s="44"/>
      <c r="S666" s="41"/>
      <c r="T666" s="41"/>
      <c r="U666" s="41"/>
      <c r="V666" s="41"/>
      <c r="X666" s="44"/>
      <c r="Y666" s="44"/>
      <c r="Z666" s="44"/>
      <c r="AB666" s="41"/>
      <c r="AC666" s="41"/>
      <c r="AD666" s="41"/>
      <c r="AE666" s="41"/>
      <c r="AF666" s="41"/>
      <c r="AG666" s="44"/>
      <c r="AH666" s="44"/>
      <c r="AI666" s="44"/>
    </row>
    <row r="667" spans="10:35" x14ac:dyDescent="0.2">
      <c r="J667" s="41"/>
      <c r="K667" s="41"/>
      <c r="L667" s="41"/>
      <c r="M667" s="41"/>
      <c r="N667" s="41"/>
      <c r="O667" s="44"/>
      <c r="P667" s="44"/>
      <c r="Q667" s="44"/>
      <c r="S667" s="41"/>
      <c r="T667" s="41"/>
      <c r="U667" s="41"/>
      <c r="V667" s="41"/>
      <c r="X667" s="44"/>
      <c r="Y667" s="44"/>
      <c r="Z667" s="44"/>
      <c r="AB667" s="41"/>
      <c r="AC667" s="41"/>
      <c r="AD667" s="41"/>
      <c r="AE667" s="41"/>
      <c r="AF667" s="41"/>
      <c r="AG667" s="44"/>
      <c r="AH667" s="44"/>
      <c r="AI667" s="44"/>
    </row>
    <row r="668" spans="10:35" x14ac:dyDescent="0.2">
      <c r="J668" s="41"/>
      <c r="K668" s="41"/>
      <c r="L668" s="41"/>
      <c r="M668" s="41"/>
      <c r="N668" s="41"/>
      <c r="O668" s="44"/>
      <c r="P668" s="44"/>
      <c r="Q668" s="44"/>
      <c r="S668" s="41"/>
      <c r="T668" s="41"/>
      <c r="U668" s="41"/>
      <c r="V668" s="41"/>
      <c r="X668" s="44"/>
      <c r="Y668" s="44"/>
      <c r="Z668" s="44"/>
      <c r="AB668" s="41"/>
      <c r="AC668" s="41"/>
      <c r="AD668" s="41"/>
      <c r="AE668" s="41"/>
      <c r="AF668" s="41"/>
      <c r="AG668" s="44"/>
      <c r="AH668" s="44"/>
      <c r="AI668" s="44"/>
    </row>
    <row r="669" spans="10:35" x14ac:dyDescent="0.2">
      <c r="J669" s="41"/>
      <c r="K669" s="41"/>
      <c r="L669" s="41"/>
      <c r="M669" s="41"/>
      <c r="N669" s="41"/>
      <c r="O669" s="44"/>
      <c r="P669" s="44"/>
      <c r="Q669" s="44"/>
      <c r="S669" s="41"/>
      <c r="T669" s="41"/>
      <c r="U669" s="41"/>
      <c r="V669" s="41"/>
      <c r="X669" s="44"/>
      <c r="Y669" s="44"/>
      <c r="Z669" s="44"/>
      <c r="AB669" s="41"/>
      <c r="AC669" s="41"/>
      <c r="AD669" s="41"/>
      <c r="AE669" s="41"/>
      <c r="AF669" s="41"/>
      <c r="AG669" s="44"/>
      <c r="AH669" s="44"/>
      <c r="AI669" s="44"/>
    </row>
    <row r="670" spans="10:35" x14ac:dyDescent="0.2">
      <c r="J670" s="41"/>
      <c r="K670" s="41"/>
      <c r="L670" s="41"/>
      <c r="M670" s="41"/>
      <c r="N670" s="41"/>
      <c r="O670" s="44"/>
      <c r="P670" s="44"/>
      <c r="Q670" s="44"/>
      <c r="S670" s="41"/>
      <c r="T670" s="41"/>
      <c r="U670" s="41"/>
      <c r="V670" s="41"/>
      <c r="X670" s="44"/>
      <c r="Y670" s="44"/>
      <c r="Z670" s="44"/>
      <c r="AB670" s="41"/>
      <c r="AC670" s="41"/>
      <c r="AD670" s="41"/>
      <c r="AE670" s="41"/>
      <c r="AF670" s="41"/>
      <c r="AG670" s="44"/>
      <c r="AH670" s="44"/>
      <c r="AI670" s="44"/>
    </row>
    <row r="671" spans="10:35" x14ac:dyDescent="0.2">
      <c r="J671" s="41"/>
      <c r="K671" s="41"/>
      <c r="L671" s="41"/>
      <c r="M671" s="41"/>
      <c r="N671" s="41"/>
      <c r="O671" s="44"/>
      <c r="P671" s="44"/>
      <c r="Q671" s="44"/>
      <c r="S671" s="41"/>
      <c r="T671" s="41"/>
      <c r="U671" s="41"/>
      <c r="V671" s="41"/>
      <c r="X671" s="44"/>
      <c r="Y671" s="44"/>
      <c r="Z671" s="44"/>
      <c r="AB671" s="41"/>
      <c r="AC671" s="41"/>
      <c r="AD671" s="41"/>
      <c r="AE671" s="41"/>
      <c r="AF671" s="41"/>
      <c r="AG671" s="44"/>
      <c r="AH671" s="44"/>
      <c r="AI671" s="44"/>
    </row>
    <row r="672" spans="10:35" x14ac:dyDescent="0.2">
      <c r="J672" s="41"/>
      <c r="K672" s="41"/>
      <c r="L672" s="41"/>
      <c r="M672" s="41"/>
      <c r="N672" s="41"/>
      <c r="O672" s="44"/>
      <c r="P672" s="44"/>
      <c r="Q672" s="44"/>
      <c r="S672" s="41"/>
      <c r="T672" s="41"/>
      <c r="U672" s="41"/>
      <c r="V672" s="41"/>
      <c r="X672" s="44"/>
      <c r="Y672" s="44"/>
      <c r="Z672" s="44"/>
      <c r="AB672" s="41"/>
      <c r="AC672" s="41"/>
      <c r="AD672" s="41"/>
      <c r="AE672" s="41"/>
      <c r="AF672" s="41"/>
      <c r="AG672" s="44"/>
      <c r="AH672" s="44"/>
      <c r="AI672" s="44"/>
    </row>
    <row r="673" spans="10:35" x14ac:dyDescent="0.2">
      <c r="J673" s="41"/>
      <c r="K673" s="41"/>
      <c r="L673" s="41"/>
      <c r="M673" s="41"/>
      <c r="N673" s="41"/>
      <c r="O673" s="44"/>
      <c r="P673" s="44"/>
      <c r="Q673" s="44"/>
      <c r="S673" s="41"/>
      <c r="T673" s="41"/>
      <c r="U673" s="41"/>
      <c r="V673" s="41"/>
      <c r="X673" s="44"/>
      <c r="Y673" s="44"/>
      <c r="Z673" s="44"/>
      <c r="AB673" s="41"/>
      <c r="AC673" s="41"/>
      <c r="AD673" s="41"/>
      <c r="AE673" s="41"/>
      <c r="AF673" s="41"/>
      <c r="AG673" s="44"/>
      <c r="AH673" s="44"/>
      <c r="AI673" s="44"/>
    </row>
    <row r="674" spans="10:35" x14ac:dyDescent="0.2">
      <c r="J674" s="41"/>
      <c r="K674" s="41"/>
      <c r="L674" s="41"/>
      <c r="M674" s="41"/>
      <c r="N674" s="41"/>
      <c r="O674" s="44"/>
      <c r="P674" s="44"/>
      <c r="Q674" s="44"/>
      <c r="S674" s="41"/>
      <c r="T674" s="41"/>
      <c r="U674" s="41"/>
      <c r="V674" s="41"/>
      <c r="X674" s="44"/>
      <c r="Y674" s="44"/>
      <c r="Z674" s="44"/>
      <c r="AB674" s="41"/>
      <c r="AC674" s="41"/>
      <c r="AD674" s="41"/>
      <c r="AE674" s="41"/>
      <c r="AF674" s="41"/>
      <c r="AG674" s="44"/>
      <c r="AH674" s="44"/>
      <c r="AI674" s="44"/>
    </row>
    <row r="675" spans="10:35" x14ac:dyDescent="0.2">
      <c r="J675" s="41"/>
      <c r="K675" s="41"/>
      <c r="L675" s="41"/>
      <c r="M675" s="41"/>
      <c r="N675" s="41"/>
      <c r="O675" s="44"/>
      <c r="P675" s="44"/>
      <c r="Q675" s="44"/>
      <c r="S675" s="41"/>
      <c r="T675" s="41"/>
      <c r="U675" s="41"/>
      <c r="V675" s="41"/>
      <c r="X675" s="44"/>
      <c r="Y675" s="44"/>
      <c r="Z675" s="44"/>
      <c r="AB675" s="41"/>
      <c r="AC675" s="41"/>
      <c r="AD675" s="41"/>
      <c r="AE675" s="41"/>
      <c r="AF675" s="41"/>
      <c r="AG675" s="44"/>
      <c r="AH675" s="44"/>
      <c r="AI675" s="44"/>
    </row>
    <row r="676" spans="10:35" x14ac:dyDescent="0.2">
      <c r="J676" s="41"/>
      <c r="K676" s="41"/>
      <c r="L676" s="41"/>
      <c r="M676" s="41"/>
      <c r="N676" s="41"/>
      <c r="O676" s="44"/>
      <c r="P676" s="44"/>
      <c r="Q676" s="44"/>
      <c r="S676" s="41"/>
      <c r="T676" s="41"/>
      <c r="U676" s="41"/>
      <c r="V676" s="41"/>
      <c r="X676" s="44"/>
      <c r="Y676" s="44"/>
      <c r="Z676" s="44"/>
      <c r="AB676" s="41"/>
      <c r="AC676" s="41"/>
      <c r="AD676" s="41"/>
      <c r="AE676" s="41"/>
      <c r="AF676" s="41"/>
      <c r="AG676" s="44"/>
      <c r="AH676" s="44"/>
      <c r="AI676" s="44"/>
    </row>
    <row r="677" spans="10:35" x14ac:dyDescent="0.2">
      <c r="J677" s="41"/>
      <c r="K677" s="41"/>
      <c r="L677" s="41"/>
      <c r="M677" s="41"/>
      <c r="N677" s="41"/>
      <c r="O677" s="44"/>
      <c r="P677" s="44"/>
      <c r="Q677" s="44"/>
      <c r="S677" s="41"/>
      <c r="T677" s="41"/>
      <c r="U677" s="41"/>
      <c r="V677" s="41"/>
      <c r="X677" s="44"/>
      <c r="Y677" s="44"/>
      <c r="Z677" s="44"/>
      <c r="AB677" s="41"/>
      <c r="AC677" s="41"/>
      <c r="AD677" s="41"/>
      <c r="AE677" s="41"/>
      <c r="AF677" s="41"/>
      <c r="AG677" s="44"/>
      <c r="AH677" s="44"/>
      <c r="AI677" s="44"/>
    </row>
    <row r="678" spans="10:35" x14ac:dyDescent="0.2">
      <c r="J678" s="41"/>
      <c r="K678" s="41"/>
      <c r="L678" s="41"/>
      <c r="M678" s="41"/>
      <c r="N678" s="41"/>
      <c r="O678" s="44"/>
      <c r="P678" s="44"/>
      <c r="Q678" s="44"/>
      <c r="S678" s="41"/>
      <c r="T678" s="41"/>
      <c r="U678" s="41"/>
      <c r="V678" s="41"/>
      <c r="X678" s="44"/>
      <c r="Y678" s="44"/>
      <c r="Z678" s="44"/>
      <c r="AB678" s="41"/>
      <c r="AC678" s="41"/>
      <c r="AD678" s="41"/>
      <c r="AE678" s="41"/>
      <c r="AF678" s="41"/>
      <c r="AG678" s="44"/>
      <c r="AH678" s="44"/>
      <c r="AI678" s="44"/>
    </row>
    <row r="679" spans="10:35" x14ac:dyDescent="0.2">
      <c r="J679" s="41"/>
      <c r="K679" s="41"/>
      <c r="L679" s="41"/>
      <c r="M679" s="41"/>
      <c r="N679" s="41"/>
      <c r="O679" s="44"/>
      <c r="P679" s="44"/>
      <c r="Q679" s="44"/>
      <c r="S679" s="41"/>
      <c r="T679" s="41"/>
      <c r="U679" s="41"/>
      <c r="V679" s="41"/>
      <c r="X679" s="44"/>
      <c r="Y679" s="44"/>
      <c r="Z679" s="44"/>
      <c r="AB679" s="41"/>
      <c r="AC679" s="41"/>
      <c r="AD679" s="41"/>
      <c r="AE679" s="41"/>
      <c r="AF679" s="41"/>
      <c r="AG679" s="44"/>
      <c r="AH679" s="44"/>
      <c r="AI679" s="44"/>
    </row>
    <row r="680" spans="10:35" x14ac:dyDescent="0.2">
      <c r="J680" s="41"/>
      <c r="K680" s="41"/>
      <c r="L680" s="41"/>
      <c r="M680" s="41"/>
      <c r="N680" s="41"/>
      <c r="O680" s="44"/>
      <c r="P680" s="44"/>
      <c r="Q680" s="44"/>
      <c r="S680" s="41"/>
      <c r="T680" s="41"/>
      <c r="U680" s="41"/>
      <c r="V680" s="41"/>
      <c r="X680" s="44"/>
      <c r="Y680" s="44"/>
      <c r="Z680" s="44"/>
      <c r="AB680" s="41"/>
      <c r="AC680" s="41"/>
      <c r="AD680" s="41"/>
      <c r="AE680" s="41"/>
      <c r="AF680" s="41"/>
      <c r="AG680" s="44"/>
      <c r="AH680" s="44"/>
      <c r="AI680" s="44"/>
    </row>
    <row r="681" spans="10:35" x14ac:dyDescent="0.2">
      <c r="J681" s="41"/>
      <c r="K681" s="41"/>
      <c r="L681" s="41"/>
      <c r="M681" s="41"/>
      <c r="N681" s="41"/>
      <c r="O681" s="44"/>
      <c r="P681" s="44"/>
      <c r="Q681" s="44"/>
      <c r="S681" s="41"/>
      <c r="T681" s="41"/>
      <c r="U681" s="41"/>
      <c r="V681" s="41"/>
      <c r="X681" s="44"/>
      <c r="Y681" s="44"/>
      <c r="Z681" s="44"/>
      <c r="AB681" s="41"/>
      <c r="AC681" s="41"/>
      <c r="AD681" s="41"/>
      <c r="AE681" s="41"/>
      <c r="AF681" s="41"/>
      <c r="AG681" s="44"/>
      <c r="AH681" s="44"/>
      <c r="AI681" s="44"/>
    </row>
    <row r="682" spans="10:35" x14ac:dyDescent="0.2">
      <c r="J682" s="41"/>
      <c r="K682" s="41"/>
      <c r="L682" s="41"/>
      <c r="M682" s="41"/>
      <c r="N682" s="41"/>
      <c r="O682" s="44"/>
      <c r="P682" s="44"/>
      <c r="Q682" s="44"/>
      <c r="S682" s="41"/>
      <c r="T682" s="41"/>
      <c r="U682" s="41"/>
      <c r="V682" s="41"/>
      <c r="X682" s="44"/>
      <c r="Y682" s="44"/>
      <c r="Z682" s="44"/>
      <c r="AB682" s="41"/>
      <c r="AC682" s="41"/>
      <c r="AD682" s="41"/>
      <c r="AE682" s="41"/>
      <c r="AF682" s="41"/>
      <c r="AG682" s="44"/>
      <c r="AH682" s="44"/>
      <c r="AI682" s="44"/>
    </row>
    <row r="683" spans="10:35" x14ac:dyDescent="0.2">
      <c r="J683" s="41"/>
      <c r="K683" s="41"/>
      <c r="L683" s="41"/>
      <c r="M683" s="41"/>
      <c r="N683" s="41"/>
      <c r="O683" s="44"/>
      <c r="P683" s="44"/>
      <c r="Q683" s="44"/>
      <c r="S683" s="41"/>
      <c r="T683" s="41"/>
      <c r="U683" s="41"/>
      <c r="V683" s="41"/>
      <c r="X683" s="44"/>
      <c r="Y683" s="44"/>
      <c r="Z683" s="44"/>
      <c r="AB683" s="41"/>
      <c r="AC683" s="41"/>
      <c r="AD683" s="41"/>
      <c r="AE683" s="41"/>
      <c r="AF683" s="41"/>
      <c r="AG683" s="44"/>
      <c r="AH683" s="44"/>
      <c r="AI683" s="44"/>
    </row>
    <row r="684" spans="10:35" x14ac:dyDescent="0.2">
      <c r="J684" s="41"/>
      <c r="K684" s="41"/>
      <c r="L684" s="41"/>
      <c r="M684" s="41"/>
      <c r="N684" s="41"/>
      <c r="O684" s="44"/>
      <c r="P684" s="44"/>
      <c r="Q684" s="44"/>
      <c r="S684" s="41"/>
      <c r="T684" s="41"/>
      <c r="U684" s="41"/>
      <c r="V684" s="41"/>
      <c r="X684" s="44"/>
      <c r="Y684" s="44"/>
      <c r="Z684" s="44"/>
      <c r="AB684" s="41"/>
      <c r="AC684" s="41"/>
      <c r="AD684" s="41"/>
      <c r="AE684" s="41"/>
      <c r="AF684" s="41"/>
      <c r="AG684" s="44"/>
      <c r="AH684" s="44"/>
      <c r="AI684" s="44"/>
    </row>
    <row r="685" spans="10:35" x14ac:dyDescent="0.2">
      <c r="J685" s="41"/>
      <c r="K685" s="41"/>
      <c r="L685" s="41"/>
      <c r="M685" s="41"/>
      <c r="N685" s="41"/>
      <c r="O685" s="44"/>
      <c r="P685" s="44"/>
      <c r="Q685" s="44"/>
      <c r="S685" s="41"/>
      <c r="T685" s="41"/>
      <c r="U685" s="41"/>
      <c r="V685" s="41"/>
      <c r="X685" s="44"/>
      <c r="Y685" s="44"/>
      <c r="Z685" s="44"/>
      <c r="AB685" s="41"/>
      <c r="AC685" s="41"/>
      <c r="AD685" s="41"/>
      <c r="AE685" s="41"/>
      <c r="AF685" s="41"/>
      <c r="AG685" s="44"/>
      <c r="AH685" s="44"/>
      <c r="AI685" s="44"/>
    </row>
    <row r="686" spans="10:35" x14ac:dyDescent="0.2">
      <c r="J686" s="41"/>
      <c r="K686" s="41"/>
      <c r="L686" s="41"/>
      <c r="M686" s="41"/>
      <c r="N686" s="41"/>
      <c r="O686" s="44"/>
      <c r="P686" s="44"/>
      <c r="Q686" s="44"/>
      <c r="S686" s="41"/>
      <c r="T686" s="41"/>
      <c r="U686" s="41"/>
      <c r="V686" s="41"/>
      <c r="X686" s="44"/>
      <c r="Y686" s="44"/>
      <c r="Z686" s="44"/>
      <c r="AB686" s="41"/>
      <c r="AC686" s="41"/>
      <c r="AD686" s="41"/>
      <c r="AE686" s="41"/>
      <c r="AF686" s="41"/>
      <c r="AG686" s="44"/>
      <c r="AH686" s="44"/>
      <c r="AI686" s="44"/>
    </row>
    <row r="687" spans="10:35" x14ac:dyDescent="0.2">
      <c r="J687" s="41"/>
      <c r="K687" s="41"/>
      <c r="L687" s="41"/>
      <c r="M687" s="41"/>
      <c r="N687" s="41"/>
      <c r="O687" s="44"/>
      <c r="P687" s="44"/>
      <c r="Q687" s="44"/>
      <c r="S687" s="41"/>
      <c r="T687" s="41"/>
      <c r="U687" s="41"/>
      <c r="V687" s="41"/>
      <c r="X687" s="44"/>
      <c r="Y687" s="44"/>
      <c r="Z687" s="44"/>
      <c r="AB687" s="41"/>
      <c r="AC687" s="41"/>
      <c r="AD687" s="41"/>
      <c r="AE687" s="41"/>
      <c r="AF687" s="41"/>
      <c r="AG687" s="44"/>
      <c r="AH687" s="44"/>
      <c r="AI687" s="44"/>
    </row>
    <row r="688" spans="10:35" x14ac:dyDescent="0.2">
      <c r="J688" s="41"/>
      <c r="K688" s="41"/>
      <c r="L688" s="41"/>
      <c r="M688" s="41"/>
      <c r="N688" s="41"/>
      <c r="O688" s="44"/>
      <c r="P688" s="44"/>
      <c r="Q688" s="44"/>
      <c r="S688" s="41"/>
      <c r="T688" s="41"/>
      <c r="U688" s="41"/>
      <c r="V688" s="41"/>
      <c r="X688" s="44"/>
      <c r="Y688" s="44"/>
      <c r="Z688" s="44"/>
      <c r="AB688" s="41"/>
      <c r="AC688" s="41"/>
      <c r="AD688" s="41"/>
      <c r="AE688" s="41"/>
      <c r="AF688" s="41"/>
      <c r="AG688" s="44"/>
      <c r="AH688" s="44"/>
      <c r="AI688" s="44"/>
    </row>
    <row r="689" spans="10:35" x14ac:dyDescent="0.2">
      <c r="J689" s="41"/>
      <c r="K689" s="41"/>
      <c r="L689" s="41"/>
      <c r="M689" s="41"/>
      <c r="N689" s="41"/>
      <c r="O689" s="44"/>
      <c r="P689" s="44"/>
      <c r="Q689" s="44"/>
      <c r="S689" s="41"/>
      <c r="T689" s="41"/>
      <c r="U689" s="41"/>
      <c r="V689" s="41"/>
      <c r="X689" s="44"/>
      <c r="Y689" s="44"/>
      <c r="Z689" s="44"/>
      <c r="AB689" s="41"/>
      <c r="AC689" s="41"/>
      <c r="AD689" s="41"/>
      <c r="AE689" s="41"/>
      <c r="AF689" s="41"/>
      <c r="AG689" s="44"/>
      <c r="AH689" s="44"/>
      <c r="AI689" s="44"/>
    </row>
    <row r="690" spans="10:35" x14ac:dyDescent="0.2">
      <c r="J690" s="41"/>
      <c r="K690" s="41"/>
      <c r="L690" s="41"/>
      <c r="M690" s="41"/>
      <c r="N690" s="41"/>
      <c r="O690" s="44"/>
      <c r="P690" s="44"/>
      <c r="Q690" s="44"/>
      <c r="S690" s="41"/>
      <c r="T690" s="41"/>
      <c r="U690" s="41"/>
      <c r="V690" s="41"/>
      <c r="X690" s="44"/>
      <c r="Y690" s="44"/>
      <c r="Z690" s="44"/>
      <c r="AB690" s="41"/>
      <c r="AC690" s="41"/>
      <c r="AD690" s="41"/>
      <c r="AE690" s="41"/>
      <c r="AF690" s="41"/>
      <c r="AG690" s="44"/>
      <c r="AH690" s="44"/>
      <c r="AI690" s="44"/>
    </row>
    <row r="691" spans="10:35" x14ac:dyDescent="0.2">
      <c r="J691" s="41"/>
      <c r="K691" s="41"/>
      <c r="L691" s="41"/>
      <c r="M691" s="41"/>
      <c r="N691" s="41"/>
      <c r="O691" s="44"/>
      <c r="P691" s="44"/>
      <c r="Q691" s="44"/>
      <c r="S691" s="41"/>
      <c r="T691" s="41"/>
      <c r="U691" s="41"/>
      <c r="V691" s="41"/>
      <c r="X691" s="44"/>
      <c r="Y691" s="44"/>
      <c r="Z691" s="44"/>
      <c r="AB691" s="41"/>
      <c r="AC691" s="41"/>
      <c r="AD691" s="41"/>
      <c r="AE691" s="41"/>
      <c r="AF691" s="41"/>
      <c r="AG691" s="44"/>
      <c r="AH691" s="44"/>
      <c r="AI691" s="44"/>
    </row>
    <row r="692" spans="10:35" x14ac:dyDescent="0.2">
      <c r="J692" s="41"/>
      <c r="K692" s="41"/>
      <c r="L692" s="41"/>
      <c r="M692" s="41"/>
      <c r="N692" s="41"/>
      <c r="O692" s="44"/>
      <c r="P692" s="44"/>
      <c r="Q692" s="44"/>
      <c r="S692" s="41"/>
      <c r="T692" s="41"/>
      <c r="U692" s="41"/>
      <c r="V692" s="41"/>
      <c r="X692" s="44"/>
      <c r="Y692" s="44"/>
      <c r="Z692" s="44"/>
      <c r="AB692" s="41"/>
      <c r="AC692" s="41"/>
      <c r="AD692" s="41"/>
      <c r="AE692" s="41"/>
      <c r="AF692" s="41"/>
      <c r="AG692" s="44"/>
      <c r="AH692" s="44"/>
      <c r="AI692" s="44"/>
    </row>
    <row r="693" spans="10:35" x14ac:dyDescent="0.2">
      <c r="J693" s="41"/>
      <c r="K693" s="41"/>
      <c r="L693" s="41"/>
      <c r="M693" s="41"/>
      <c r="N693" s="41"/>
      <c r="O693" s="44"/>
      <c r="P693" s="44"/>
      <c r="Q693" s="44"/>
      <c r="S693" s="41"/>
      <c r="T693" s="41"/>
      <c r="U693" s="41"/>
      <c r="V693" s="41"/>
      <c r="X693" s="44"/>
      <c r="Y693" s="44"/>
      <c r="Z693" s="44"/>
      <c r="AB693" s="41"/>
      <c r="AC693" s="41"/>
      <c r="AD693" s="41"/>
      <c r="AE693" s="41"/>
      <c r="AF693" s="41"/>
      <c r="AG693" s="44"/>
      <c r="AH693" s="44"/>
      <c r="AI693" s="44"/>
    </row>
    <row r="694" spans="10:35" x14ac:dyDescent="0.2">
      <c r="J694" s="41"/>
      <c r="K694" s="41"/>
      <c r="L694" s="41"/>
      <c r="M694" s="41"/>
      <c r="N694" s="41"/>
      <c r="O694" s="44"/>
      <c r="P694" s="44"/>
      <c r="Q694" s="44"/>
      <c r="S694" s="41"/>
      <c r="T694" s="41"/>
      <c r="U694" s="41"/>
      <c r="V694" s="41"/>
      <c r="X694" s="44"/>
      <c r="Y694" s="44"/>
      <c r="Z694" s="44"/>
      <c r="AB694" s="41"/>
      <c r="AC694" s="41"/>
      <c r="AD694" s="41"/>
      <c r="AE694" s="41"/>
      <c r="AF694" s="41"/>
      <c r="AG694" s="44"/>
      <c r="AH694" s="44"/>
      <c r="AI694" s="44"/>
    </row>
    <row r="695" spans="10:35" x14ac:dyDescent="0.2">
      <c r="J695" s="41"/>
      <c r="K695" s="41"/>
      <c r="L695" s="41"/>
      <c r="M695" s="41"/>
      <c r="N695" s="41"/>
      <c r="O695" s="44"/>
      <c r="P695" s="44"/>
      <c r="Q695" s="44"/>
      <c r="S695" s="41"/>
      <c r="T695" s="41"/>
      <c r="U695" s="41"/>
      <c r="V695" s="41"/>
      <c r="X695" s="44"/>
      <c r="Y695" s="44"/>
      <c r="Z695" s="44"/>
      <c r="AB695" s="41"/>
      <c r="AC695" s="41"/>
      <c r="AD695" s="41"/>
      <c r="AE695" s="41"/>
      <c r="AF695" s="41"/>
      <c r="AG695" s="44"/>
      <c r="AH695" s="44"/>
      <c r="AI695" s="44"/>
    </row>
    <row r="696" spans="10:35" x14ac:dyDescent="0.2">
      <c r="J696" s="41"/>
      <c r="K696" s="41"/>
      <c r="L696" s="41"/>
      <c r="M696" s="41"/>
      <c r="N696" s="41"/>
      <c r="O696" s="44"/>
      <c r="P696" s="44"/>
      <c r="Q696" s="44"/>
      <c r="S696" s="41"/>
      <c r="T696" s="41"/>
      <c r="U696" s="41"/>
      <c r="V696" s="41"/>
      <c r="X696" s="44"/>
      <c r="Y696" s="44"/>
      <c r="Z696" s="44"/>
      <c r="AB696" s="41"/>
      <c r="AC696" s="41"/>
      <c r="AD696" s="41"/>
      <c r="AE696" s="41"/>
      <c r="AF696" s="41"/>
      <c r="AG696" s="44"/>
      <c r="AH696" s="44"/>
      <c r="AI696" s="44"/>
    </row>
    <row r="697" spans="10:35" x14ac:dyDescent="0.2">
      <c r="J697" s="41"/>
      <c r="K697" s="41"/>
      <c r="L697" s="41"/>
      <c r="M697" s="41"/>
      <c r="N697" s="41"/>
      <c r="O697" s="44"/>
      <c r="P697" s="44"/>
      <c r="Q697" s="44"/>
      <c r="S697" s="41"/>
      <c r="T697" s="41"/>
      <c r="U697" s="41"/>
      <c r="V697" s="41"/>
      <c r="X697" s="44"/>
      <c r="Y697" s="44"/>
      <c r="Z697" s="44"/>
      <c r="AB697" s="41"/>
      <c r="AC697" s="41"/>
      <c r="AD697" s="41"/>
      <c r="AE697" s="41"/>
      <c r="AF697" s="41"/>
      <c r="AG697" s="44"/>
      <c r="AH697" s="44"/>
      <c r="AI697" s="44"/>
    </row>
    <row r="698" spans="10:35" x14ac:dyDescent="0.2">
      <c r="J698" s="41"/>
      <c r="K698" s="41"/>
      <c r="L698" s="41"/>
      <c r="M698" s="41"/>
      <c r="N698" s="41"/>
      <c r="O698" s="44"/>
      <c r="P698" s="44"/>
      <c r="Q698" s="44"/>
      <c r="S698" s="41"/>
      <c r="T698" s="41"/>
      <c r="U698" s="41"/>
      <c r="V698" s="41"/>
      <c r="X698" s="44"/>
      <c r="Y698" s="44"/>
      <c r="Z698" s="44"/>
      <c r="AB698" s="41"/>
      <c r="AC698" s="41"/>
      <c r="AD698" s="41"/>
      <c r="AE698" s="41"/>
      <c r="AF698" s="41"/>
      <c r="AG698" s="44"/>
      <c r="AH698" s="44"/>
      <c r="AI698" s="44"/>
    </row>
    <row r="699" spans="10:35" x14ac:dyDescent="0.2">
      <c r="J699" s="41"/>
      <c r="K699" s="41"/>
      <c r="L699" s="41"/>
      <c r="M699" s="41"/>
      <c r="N699" s="41"/>
      <c r="O699" s="44"/>
      <c r="P699" s="44"/>
      <c r="Q699" s="44"/>
      <c r="S699" s="41"/>
      <c r="T699" s="41"/>
      <c r="U699" s="41"/>
      <c r="V699" s="41"/>
      <c r="X699" s="44"/>
      <c r="Y699" s="44"/>
      <c r="Z699" s="44"/>
      <c r="AB699" s="41"/>
      <c r="AC699" s="41"/>
      <c r="AD699" s="41"/>
      <c r="AE699" s="41"/>
      <c r="AF699" s="41"/>
      <c r="AG699" s="44"/>
      <c r="AH699" s="44"/>
      <c r="AI699" s="44"/>
    </row>
    <row r="700" spans="10:35" x14ac:dyDescent="0.2">
      <c r="J700" s="41"/>
      <c r="K700" s="41"/>
      <c r="L700" s="41"/>
      <c r="M700" s="41"/>
      <c r="N700" s="41"/>
      <c r="O700" s="44"/>
      <c r="P700" s="44"/>
      <c r="Q700" s="44"/>
      <c r="S700" s="41"/>
      <c r="T700" s="41"/>
      <c r="U700" s="41"/>
      <c r="V700" s="41"/>
      <c r="X700" s="44"/>
      <c r="Y700" s="44"/>
      <c r="Z700" s="44"/>
      <c r="AB700" s="41"/>
      <c r="AC700" s="41"/>
      <c r="AD700" s="41"/>
      <c r="AE700" s="41"/>
      <c r="AF700" s="41"/>
      <c r="AG700" s="44"/>
      <c r="AH700" s="44"/>
      <c r="AI700" s="44"/>
    </row>
    <row r="701" spans="10:35" x14ac:dyDescent="0.2">
      <c r="J701" s="41"/>
      <c r="K701" s="41"/>
      <c r="L701" s="41"/>
      <c r="M701" s="41"/>
      <c r="N701" s="41"/>
      <c r="O701" s="44"/>
      <c r="P701" s="44"/>
      <c r="Q701" s="44"/>
      <c r="S701" s="41"/>
      <c r="T701" s="41"/>
      <c r="U701" s="41"/>
      <c r="V701" s="41"/>
      <c r="X701" s="44"/>
      <c r="Y701" s="44"/>
      <c r="Z701" s="44"/>
      <c r="AB701" s="41"/>
      <c r="AC701" s="41"/>
      <c r="AD701" s="41"/>
      <c r="AE701" s="41"/>
      <c r="AF701" s="41"/>
      <c r="AG701" s="44"/>
      <c r="AH701" s="44"/>
      <c r="AI701" s="44"/>
    </row>
    <row r="702" spans="10:35" x14ac:dyDescent="0.2">
      <c r="J702" s="41"/>
      <c r="K702" s="41"/>
      <c r="L702" s="41"/>
      <c r="M702" s="41"/>
      <c r="N702" s="41"/>
      <c r="O702" s="44"/>
      <c r="P702" s="44"/>
      <c r="Q702" s="44"/>
      <c r="S702" s="41"/>
      <c r="T702" s="41"/>
      <c r="U702" s="41"/>
      <c r="V702" s="41"/>
      <c r="X702" s="44"/>
      <c r="Y702" s="44"/>
      <c r="Z702" s="44"/>
      <c r="AB702" s="41"/>
      <c r="AC702" s="41"/>
      <c r="AD702" s="41"/>
      <c r="AE702" s="41"/>
      <c r="AF702" s="41"/>
      <c r="AG702" s="44"/>
      <c r="AH702" s="44"/>
      <c r="AI702" s="44"/>
    </row>
    <row r="703" spans="10:35" x14ac:dyDescent="0.2">
      <c r="J703" s="41"/>
      <c r="K703" s="41"/>
      <c r="L703" s="41"/>
      <c r="M703" s="41"/>
      <c r="N703" s="41"/>
      <c r="O703" s="44"/>
      <c r="P703" s="44"/>
      <c r="Q703" s="44"/>
      <c r="S703" s="41"/>
      <c r="T703" s="41"/>
      <c r="U703" s="41"/>
      <c r="V703" s="41"/>
      <c r="X703" s="44"/>
      <c r="Y703" s="44"/>
      <c r="Z703" s="44"/>
      <c r="AB703" s="41"/>
      <c r="AC703" s="41"/>
      <c r="AD703" s="41"/>
      <c r="AE703" s="41"/>
      <c r="AF703" s="41"/>
      <c r="AG703" s="44"/>
      <c r="AH703" s="44"/>
      <c r="AI703" s="44"/>
    </row>
    <row r="704" spans="10:35" x14ac:dyDescent="0.2">
      <c r="J704" s="41"/>
      <c r="K704" s="41"/>
      <c r="L704" s="41"/>
      <c r="M704" s="41"/>
      <c r="N704" s="41"/>
      <c r="O704" s="44"/>
      <c r="P704" s="44"/>
      <c r="Q704" s="44"/>
      <c r="S704" s="41"/>
      <c r="T704" s="41"/>
      <c r="U704" s="41"/>
      <c r="V704" s="41"/>
      <c r="X704" s="44"/>
      <c r="Y704" s="44"/>
      <c r="Z704" s="44"/>
      <c r="AB704" s="41"/>
      <c r="AC704" s="41"/>
      <c r="AD704" s="41"/>
      <c r="AE704" s="41"/>
      <c r="AF704" s="41"/>
      <c r="AG704" s="44"/>
      <c r="AH704" s="44"/>
      <c r="AI704" s="44"/>
    </row>
    <row r="705" spans="10:35" x14ac:dyDescent="0.2">
      <c r="J705" s="41"/>
      <c r="K705" s="41"/>
      <c r="L705" s="41"/>
      <c r="M705" s="41"/>
      <c r="N705" s="41"/>
      <c r="O705" s="44"/>
      <c r="P705" s="44"/>
      <c r="Q705" s="44"/>
      <c r="S705" s="41"/>
      <c r="T705" s="41"/>
      <c r="U705" s="41"/>
      <c r="V705" s="41"/>
      <c r="X705" s="44"/>
      <c r="Y705" s="44"/>
      <c r="Z705" s="44"/>
      <c r="AB705" s="41"/>
      <c r="AC705" s="41"/>
      <c r="AD705" s="41"/>
      <c r="AE705" s="41"/>
      <c r="AF705" s="41"/>
      <c r="AG705" s="44"/>
      <c r="AH705" s="44"/>
      <c r="AI705" s="44"/>
    </row>
    <row r="706" spans="10:35" x14ac:dyDescent="0.2">
      <c r="J706" s="41"/>
      <c r="K706" s="41"/>
      <c r="L706" s="41"/>
      <c r="M706" s="41"/>
      <c r="N706" s="41"/>
      <c r="O706" s="44"/>
      <c r="P706" s="44"/>
      <c r="Q706" s="44"/>
      <c r="S706" s="41"/>
      <c r="T706" s="41"/>
      <c r="U706" s="41"/>
      <c r="V706" s="41"/>
      <c r="X706" s="44"/>
      <c r="Y706" s="44"/>
      <c r="Z706" s="44"/>
      <c r="AB706" s="41"/>
      <c r="AC706" s="41"/>
      <c r="AD706" s="41"/>
      <c r="AE706" s="41"/>
      <c r="AF706" s="41"/>
      <c r="AG706" s="44"/>
      <c r="AH706" s="44"/>
      <c r="AI706" s="44"/>
    </row>
    <row r="707" spans="10:35" x14ac:dyDescent="0.2">
      <c r="J707" s="41"/>
      <c r="K707" s="41"/>
      <c r="L707" s="41"/>
      <c r="M707" s="41"/>
      <c r="N707" s="41"/>
      <c r="O707" s="44"/>
      <c r="P707" s="44"/>
      <c r="Q707" s="44"/>
      <c r="S707" s="41"/>
      <c r="T707" s="41"/>
      <c r="U707" s="41"/>
      <c r="V707" s="41"/>
      <c r="X707" s="44"/>
      <c r="Y707" s="44"/>
      <c r="Z707" s="44"/>
      <c r="AB707" s="41"/>
      <c r="AC707" s="41"/>
      <c r="AD707" s="41"/>
      <c r="AE707" s="41"/>
      <c r="AF707" s="41"/>
      <c r="AG707" s="44"/>
      <c r="AH707" s="44"/>
      <c r="AI707" s="44"/>
    </row>
    <row r="708" spans="10:35" x14ac:dyDescent="0.2">
      <c r="J708" s="41"/>
      <c r="K708" s="41"/>
      <c r="L708" s="41"/>
      <c r="M708" s="41"/>
      <c r="N708" s="41"/>
      <c r="O708" s="44"/>
      <c r="P708" s="44"/>
      <c r="Q708" s="44"/>
      <c r="S708" s="41"/>
      <c r="T708" s="41"/>
      <c r="U708" s="41"/>
      <c r="V708" s="41"/>
      <c r="X708" s="44"/>
      <c r="Y708" s="44"/>
      <c r="Z708" s="44"/>
      <c r="AB708" s="41"/>
      <c r="AC708" s="41"/>
      <c r="AD708" s="41"/>
      <c r="AE708" s="41"/>
      <c r="AF708" s="41"/>
      <c r="AG708" s="44"/>
      <c r="AH708" s="44"/>
      <c r="AI708" s="44"/>
    </row>
    <row r="709" spans="10:35" x14ac:dyDescent="0.2">
      <c r="J709" s="41"/>
      <c r="K709" s="41"/>
      <c r="L709" s="41"/>
      <c r="M709" s="41"/>
      <c r="N709" s="41"/>
      <c r="O709" s="44"/>
      <c r="P709" s="44"/>
      <c r="Q709" s="44"/>
      <c r="S709" s="41"/>
      <c r="T709" s="41"/>
      <c r="U709" s="41"/>
      <c r="V709" s="41"/>
      <c r="X709" s="44"/>
      <c r="Y709" s="44"/>
      <c r="Z709" s="44"/>
      <c r="AB709" s="41"/>
      <c r="AC709" s="41"/>
      <c r="AD709" s="41"/>
      <c r="AE709" s="41"/>
      <c r="AF709" s="41"/>
      <c r="AG709" s="44"/>
      <c r="AH709" s="44"/>
      <c r="AI709" s="44"/>
    </row>
    <row r="710" spans="10:35" x14ac:dyDescent="0.2">
      <c r="J710" s="41"/>
      <c r="K710" s="41"/>
      <c r="L710" s="41"/>
      <c r="M710" s="41"/>
      <c r="N710" s="41"/>
      <c r="O710" s="44"/>
      <c r="P710" s="44"/>
      <c r="Q710" s="44"/>
      <c r="S710" s="41"/>
      <c r="T710" s="41"/>
      <c r="U710" s="41"/>
      <c r="V710" s="41"/>
      <c r="X710" s="44"/>
      <c r="Y710" s="44"/>
      <c r="Z710" s="44"/>
      <c r="AB710" s="41"/>
      <c r="AC710" s="41"/>
      <c r="AD710" s="41"/>
      <c r="AE710" s="41"/>
      <c r="AF710" s="41"/>
      <c r="AG710" s="44"/>
      <c r="AH710" s="44"/>
      <c r="AI710" s="44"/>
    </row>
    <row r="711" spans="10:35" x14ac:dyDescent="0.2">
      <c r="J711" s="41"/>
      <c r="K711" s="41"/>
      <c r="L711" s="41"/>
      <c r="M711" s="41"/>
      <c r="N711" s="41"/>
      <c r="O711" s="44"/>
      <c r="P711" s="44"/>
      <c r="Q711" s="44"/>
      <c r="S711" s="41"/>
      <c r="T711" s="41"/>
      <c r="U711" s="41"/>
      <c r="V711" s="41"/>
      <c r="X711" s="44"/>
      <c r="Y711" s="44"/>
      <c r="Z711" s="44"/>
      <c r="AB711" s="41"/>
      <c r="AC711" s="41"/>
      <c r="AD711" s="41"/>
      <c r="AE711" s="41"/>
      <c r="AF711" s="41"/>
      <c r="AG711" s="44"/>
      <c r="AH711" s="44"/>
      <c r="AI711" s="44"/>
    </row>
    <row r="712" spans="10:35" x14ac:dyDescent="0.2">
      <c r="J712" s="41"/>
      <c r="K712" s="41"/>
      <c r="L712" s="41"/>
      <c r="M712" s="41"/>
      <c r="N712" s="41"/>
      <c r="O712" s="44"/>
      <c r="P712" s="44"/>
      <c r="Q712" s="44"/>
      <c r="S712" s="41"/>
      <c r="T712" s="41"/>
      <c r="U712" s="41"/>
      <c r="V712" s="41"/>
      <c r="X712" s="44"/>
      <c r="Y712" s="44"/>
      <c r="Z712" s="44"/>
      <c r="AB712" s="41"/>
      <c r="AC712" s="41"/>
      <c r="AD712" s="41"/>
      <c r="AE712" s="41"/>
      <c r="AF712" s="41"/>
      <c r="AG712" s="44"/>
      <c r="AH712" s="44"/>
      <c r="AI712" s="44"/>
    </row>
    <row r="713" spans="10:35" x14ac:dyDescent="0.2">
      <c r="J713" s="41"/>
      <c r="K713" s="41"/>
      <c r="L713" s="41"/>
      <c r="M713" s="41"/>
      <c r="N713" s="41"/>
      <c r="O713" s="44"/>
      <c r="P713" s="44"/>
      <c r="Q713" s="44"/>
      <c r="S713" s="41"/>
      <c r="T713" s="41"/>
      <c r="U713" s="41"/>
      <c r="V713" s="41"/>
      <c r="X713" s="44"/>
      <c r="Y713" s="44"/>
      <c r="Z713" s="44"/>
      <c r="AB713" s="41"/>
      <c r="AC713" s="41"/>
      <c r="AD713" s="41"/>
      <c r="AE713" s="41"/>
      <c r="AF713" s="41"/>
      <c r="AG713" s="44"/>
      <c r="AH713" s="44"/>
      <c r="AI713" s="44"/>
    </row>
    <row r="714" spans="10:35" x14ac:dyDescent="0.2">
      <c r="J714" s="41"/>
      <c r="K714" s="41"/>
      <c r="L714" s="41"/>
      <c r="M714" s="41"/>
      <c r="N714" s="41"/>
      <c r="O714" s="44"/>
      <c r="P714" s="44"/>
      <c r="Q714" s="44"/>
      <c r="S714" s="41"/>
      <c r="T714" s="41"/>
      <c r="U714" s="41"/>
      <c r="V714" s="41"/>
      <c r="X714" s="44"/>
      <c r="Y714" s="44"/>
      <c r="Z714" s="44"/>
      <c r="AB714" s="41"/>
      <c r="AC714" s="41"/>
      <c r="AD714" s="41"/>
      <c r="AE714" s="41"/>
      <c r="AF714" s="41"/>
      <c r="AG714" s="44"/>
      <c r="AH714" s="44"/>
      <c r="AI714" s="44"/>
    </row>
    <row r="715" spans="10:35" x14ac:dyDescent="0.2">
      <c r="J715" s="41"/>
      <c r="K715" s="41"/>
      <c r="L715" s="41"/>
      <c r="M715" s="41"/>
      <c r="N715" s="41"/>
      <c r="O715" s="44"/>
      <c r="P715" s="44"/>
      <c r="Q715" s="44"/>
      <c r="S715" s="41"/>
      <c r="T715" s="41"/>
      <c r="U715" s="41"/>
      <c r="V715" s="41"/>
      <c r="X715" s="44"/>
      <c r="Y715" s="44"/>
      <c r="Z715" s="44"/>
      <c r="AB715" s="41"/>
      <c r="AC715" s="41"/>
      <c r="AD715" s="41"/>
      <c r="AE715" s="41"/>
      <c r="AF715" s="41"/>
      <c r="AG715" s="44"/>
      <c r="AH715" s="44"/>
      <c r="AI715" s="44"/>
    </row>
    <row r="716" spans="10:35" x14ac:dyDescent="0.2">
      <c r="J716" s="41"/>
      <c r="K716" s="41"/>
      <c r="L716" s="41"/>
      <c r="M716" s="41"/>
      <c r="N716" s="41"/>
      <c r="O716" s="44"/>
      <c r="P716" s="44"/>
      <c r="Q716" s="44"/>
      <c r="S716" s="41"/>
      <c r="T716" s="41"/>
      <c r="U716" s="41"/>
      <c r="V716" s="41"/>
      <c r="X716" s="44"/>
      <c r="Y716" s="44"/>
      <c r="Z716" s="44"/>
      <c r="AB716" s="41"/>
      <c r="AC716" s="41"/>
      <c r="AD716" s="41"/>
      <c r="AE716" s="41"/>
      <c r="AF716" s="41"/>
      <c r="AG716" s="44"/>
      <c r="AH716" s="44"/>
      <c r="AI716" s="44"/>
    </row>
    <row r="717" spans="10:35" x14ac:dyDescent="0.2">
      <c r="J717" s="41"/>
      <c r="K717" s="41"/>
      <c r="L717" s="41"/>
      <c r="M717" s="41"/>
      <c r="N717" s="41"/>
      <c r="O717" s="44"/>
      <c r="P717" s="44"/>
      <c r="Q717" s="44"/>
      <c r="S717" s="41"/>
      <c r="T717" s="41"/>
      <c r="U717" s="41"/>
      <c r="V717" s="41"/>
      <c r="X717" s="44"/>
      <c r="Y717" s="44"/>
      <c r="Z717" s="44"/>
      <c r="AB717" s="41"/>
      <c r="AC717" s="41"/>
      <c r="AD717" s="41"/>
      <c r="AE717" s="41"/>
      <c r="AF717" s="41"/>
      <c r="AG717" s="44"/>
      <c r="AH717" s="44"/>
      <c r="AI717" s="44"/>
    </row>
    <row r="718" spans="10:35" x14ac:dyDescent="0.2">
      <c r="J718" s="41"/>
      <c r="K718" s="41"/>
      <c r="L718" s="41"/>
      <c r="M718" s="41"/>
      <c r="N718" s="41"/>
      <c r="O718" s="44"/>
      <c r="P718" s="44"/>
      <c r="Q718" s="44"/>
      <c r="S718" s="41"/>
      <c r="T718" s="41"/>
      <c r="U718" s="41"/>
      <c r="V718" s="41"/>
      <c r="X718" s="44"/>
      <c r="Y718" s="44"/>
      <c r="Z718" s="44"/>
      <c r="AB718" s="41"/>
      <c r="AC718" s="41"/>
      <c r="AD718" s="41"/>
      <c r="AE718" s="41"/>
      <c r="AF718" s="41"/>
      <c r="AG718" s="44"/>
      <c r="AH718" s="44"/>
      <c r="AI718" s="44"/>
    </row>
    <row r="719" spans="10:35" x14ac:dyDescent="0.2">
      <c r="J719" s="41"/>
      <c r="K719" s="41"/>
      <c r="L719" s="41"/>
      <c r="M719" s="41"/>
      <c r="N719" s="41"/>
      <c r="O719" s="44"/>
      <c r="P719" s="44"/>
      <c r="Q719" s="44"/>
      <c r="S719" s="41"/>
      <c r="T719" s="41"/>
      <c r="U719" s="41"/>
      <c r="V719" s="41"/>
      <c r="X719" s="44"/>
      <c r="Y719" s="44"/>
      <c r="Z719" s="44"/>
      <c r="AB719" s="41"/>
      <c r="AC719" s="41"/>
      <c r="AD719" s="41"/>
      <c r="AE719" s="41"/>
      <c r="AF719" s="41"/>
      <c r="AG719" s="44"/>
      <c r="AH719" s="44"/>
      <c r="AI719" s="44"/>
    </row>
    <row r="720" spans="10:35" x14ac:dyDescent="0.2">
      <c r="J720" s="41"/>
      <c r="K720" s="41"/>
      <c r="L720" s="41"/>
      <c r="M720" s="41"/>
      <c r="N720" s="41"/>
      <c r="O720" s="44"/>
      <c r="P720" s="44"/>
      <c r="Q720" s="44"/>
      <c r="S720" s="41"/>
      <c r="T720" s="41"/>
      <c r="U720" s="41"/>
      <c r="V720" s="41"/>
      <c r="X720" s="44"/>
      <c r="Y720" s="44"/>
      <c r="Z720" s="44"/>
      <c r="AB720" s="41"/>
      <c r="AC720" s="41"/>
      <c r="AD720" s="41"/>
      <c r="AE720" s="41"/>
      <c r="AF720" s="41"/>
      <c r="AG720" s="44"/>
      <c r="AH720" s="44"/>
      <c r="AI720" s="44"/>
    </row>
    <row r="721" spans="10:35" x14ac:dyDescent="0.2">
      <c r="J721" s="41"/>
      <c r="K721" s="41"/>
      <c r="L721" s="41"/>
      <c r="M721" s="41"/>
      <c r="N721" s="41"/>
      <c r="O721" s="44"/>
      <c r="P721" s="44"/>
      <c r="Q721" s="44"/>
      <c r="S721" s="41"/>
      <c r="T721" s="41"/>
      <c r="U721" s="41"/>
      <c r="V721" s="41"/>
      <c r="X721" s="44"/>
      <c r="Y721" s="44"/>
      <c r="Z721" s="44"/>
      <c r="AB721" s="41"/>
      <c r="AC721" s="41"/>
      <c r="AD721" s="41"/>
      <c r="AE721" s="41"/>
      <c r="AF721" s="41"/>
      <c r="AG721" s="44"/>
      <c r="AH721" s="44"/>
      <c r="AI721" s="44"/>
    </row>
    <row r="722" spans="10:35" x14ac:dyDescent="0.2">
      <c r="J722" s="41"/>
      <c r="K722" s="41"/>
      <c r="L722" s="41"/>
      <c r="M722" s="41"/>
      <c r="N722" s="41"/>
      <c r="O722" s="44"/>
      <c r="P722" s="44"/>
      <c r="Q722" s="44"/>
      <c r="S722" s="41"/>
      <c r="T722" s="41"/>
      <c r="U722" s="41"/>
      <c r="V722" s="41"/>
      <c r="X722" s="44"/>
      <c r="Y722" s="44"/>
      <c r="Z722" s="44"/>
      <c r="AB722" s="41"/>
      <c r="AC722" s="41"/>
      <c r="AD722" s="41"/>
      <c r="AE722" s="41"/>
      <c r="AF722" s="41"/>
      <c r="AG722" s="44"/>
      <c r="AH722" s="44"/>
      <c r="AI722" s="44"/>
    </row>
    <row r="723" spans="10:35" x14ac:dyDescent="0.2">
      <c r="J723" s="41"/>
      <c r="K723" s="41"/>
      <c r="L723" s="41"/>
      <c r="M723" s="41"/>
      <c r="N723" s="41"/>
      <c r="O723" s="44"/>
      <c r="P723" s="44"/>
      <c r="Q723" s="44"/>
      <c r="S723" s="41"/>
      <c r="T723" s="41"/>
      <c r="U723" s="41"/>
      <c r="V723" s="41"/>
      <c r="X723" s="44"/>
      <c r="Y723" s="44"/>
      <c r="Z723" s="44"/>
      <c r="AB723" s="41"/>
      <c r="AC723" s="41"/>
      <c r="AD723" s="41"/>
      <c r="AE723" s="41"/>
      <c r="AF723" s="41"/>
      <c r="AG723" s="44"/>
      <c r="AH723" s="44"/>
      <c r="AI723" s="44"/>
    </row>
    <row r="724" spans="10:35" x14ac:dyDescent="0.2">
      <c r="J724" s="41"/>
      <c r="K724" s="41"/>
      <c r="L724" s="41"/>
      <c r="M724" s="41"/>
      <c r="N724" s="41"/>
      <c r="O724" s="44"/>
      <c r="P724" s="44"/>
      <c r="Q724" s="44"/>
      <c r="S724" s="41"/>
      <c r="T724" s="41"/>
      <c r="U724" s="41"/>
      <c r="V724" s="41"/>
      <c r="X724" s="44"/>
      <c r="Y724" s="44"/>
      <c r="Z724" s="44"/>
      <c r="AB724" s="41"/>
      <c r="AC724" s="41"/>
      <c r="AD724" s="41"/>
      <c r="AE724" s="41"/>
      <c r="AF724" s="41"/>
      <c r="AG724" s="44"/>
      <c r="AH724" s="44"/>
      <c r="AI724" s="44"/>
    </row>
    <row r="725" spans="10:35" x14ac:dyDescent="0.2">
      <c r="J725" s="41"/>
      <c r="K725" s="41"/>
      <c r="L725" s="41"/>
      <c r="M725" s="41"/>
      <c r="N725" s="41"/>
      <c r="O725" s="44"/>
      <c r="P725" s="44"/>
      <c r="Q725" s="44"/>
      <c r="S725" s="41"/>
      <c r="T725" s="41"/>
      <c r="U725" s="41"/>
      <c r="V725" s="41"/>
      <c r="X725" s="44"/>
      <c r="Y725" s="44"/>
      <c r="Z725" s="44"/>
      <c r="AB725" s="41"/>
      <c r="AC725" s="41"/>
      <c r="AD725" s="41"/>
      <c r="AE725" s="41"/>
      <c r="AF725" s="41"/>
      <c r="AG725" s="44"/>
      <c r="AH725" s="44"/>
      <c r="AI725" s="44"/>
    </row>
    <row r="726" spans="10:35" x14ac:dyDescent="0.2">
      <c r="J726" s="41"/>
      <c r="K726" s="41"/>
      <c r="L726" s="41"/>
      <c r="M726" s="41"/>
      <c r="N726" s="41"/>
      <c r="O726" s="44"/>
      <c r="P726" s="44"/>
      <c r="Q726" s="44"/>
      <c r="S726" s="41"/>
      <c r="T726" s="41"/>
      <c r="U726" s="41"/>
      <c r="V726" s="41"/>
      <c r="X726" s="44"/>
      <c r="Y726" s="44"/>
      <c r="Z726" s="44"/>
      <c r="AB726" s="41"/>
      <c r="AC726" s="41"/>
      <c r="AD726" s="41"/>
      <c r="AE726" s="41"/>
      <c r="AF726" s="41"/>
      <c r="AG726" s="44"/>
      <c r="AH726" s="44"/>
      <c r="AI726" s="44"/>
    </row>
    <row r="727" spans="10:35" x14ac:dyDescent="0.2">
      <c r="J727" s="41"/>
      <c r="K727" s="41"/>
      <c r="L727" s="41"/>
      <c r="M727" s="41"/>
      <c r="N727" s="41"/>
      <c r="O727" s="44"/>
      <c r="P727" s="44"/>
      <c r="Q727" s="44"/>
      <c r="S727" s="41"/>
      <c r="T727" s="41"/>
      <c r="U727" s="41"/>
      <c r="V727" s="41"/>
      <c r="X727" s="44"/>
      <c r="Y727" s="44"/>
      <c r="Z727" s="44"/>
      <c r="AB727" s="41"/>
      <c r="AC727" s="41"/>
      <c r="AD727" s="41"/>
      <c r="AE727" s="41"/>
      <c r="AF727" s="41"/>
      <c r="AG727" s="44"/>
      <c r="AH727" s="44"/>
      <c r="AI727" s="44"/>
    </row>
    <row r="728" spans="10:35" x14ac:dyDescent="0.2">
      <c r="J728" s="41"/>
      <c r="K728" s="41"/>
      <c r="L728" s="41"/>
      <c r="M728" s="41"/>
      <c r="N728" s="41"/>
      <c r="O728" s="44"/>
      <c r="P728" s="44"/>
      <c r="Q728" s="44"/>
      <c r="S728" s="41"/>
      <c r="T728" s="41"/>
      <c r="U728" s="41"/>
      <c r="V728" s="41"/>
      <c r="X728" s="44"/>
      <c r="Y728" s="44"/>
      <c r="Z728" s="44"/>
      <c r="AB728" s="41"/>
      <c r="AC728" s="41"/>
      <c r="AD728" s="41"/>
      <c r="AE728" s="41"/>
      <c r="AF728" s="41"/>
      <c r="AG728" s="44"/>
      <c r="AH728" s="44"/>
      <c r="AI728" s="44"/>
    </row>
    <row r="729" spans="10:35" x14ac:dyDescent="0.2">
      <c r="J729" s="41"/>
      <c r="K729" s="41"/>
      <c r="L729" s="41"/>
      <c r="M729" s="41"/>
      <c r="N729" s="41"/>
      <c r="O729" s="44"/>
      <c r="P729" s="44"/>
      <c r="Q729" s="44"/>
      <c r="S729" s="41"/>
      <c r="T729" s="41"/>
      <c r="U729" s="41"/>
      <c r="V729" s="41"/>
      <c r="X729" s="44"/>
      <c r="Y729" s="44"/>
      <c r="Z729" s="44"/>
      <c r="AB729" s="41"/>
      <c r="AC729" s="41"/>
      <c r="AD729" s="41"/>
      <c r="AE729" s="41"/>
      <c r="AF729" s="41"/>
      <c r="AG729" s="44"/>
      <c r="AH729" s="44"/>
      <c r="AI729" s="44"/>
    </row>
  </sheetData>
  <sheetProtection password="CC4B" sheet="1"/>
  <mergeCells count="78">
    <mergeCell ref="Y30:AB31"/>
    <mergeCell ref="AG30:AJ31"/>
    <mergeCell ref="L32:L33"/>
    <mergeCell ref="K30:N31"/>
    <mergeCell ref="AL98:AM99"/>
    <mergeCell ref="V98:V99"/>
    <mergeCell ref="AC98:AD99"/>
    <mergeCell ref="AE98:AE99"/>
    <mergeCell ref="M98:M99"/>
    <mergeCell ref="T30:X31"/>
    <mergeCell ref="AC30:AF31"/>
    <mergeCell ref="P32:P33"/>
    <mergeCell ref="O30:R31"/>
    <mergeCell ref="T98:U99"/>
    <mergeCell ref="BB107:BB109"/>
    <mergeCell ref="AX107:AX109"/>
    <mergeCell ref="AY107:AY109"/>
    <mergeCell ref="AZ107:AZ109"/>
    <mergeCell ref="BA107:BA109"/>
    <mergeCell ref="AN98:AN99"/>
    <mergeCell ref="AW107:AW109"/>
    <mergeCell ref="AW98:AW99"/>
    <mergeCell ref="AR107:AR109"/>
    <mergeCell ref="AS107:AS109"/>
    <mergeCell ref="AN107:AN109"/>
    <mergeCell ref="AO107:AO109"/>
    <mergeCell ref="AU98:AV99"/>
    <mergeCell ref="AU107:AU109"/>
    <mergeCell ref="AV107:AV109"/>
    <mergeCell ref="AL107:AL109"/>
    <mergeCell ref="AM107:AM109"/>
    <mergeCell ref="AP107:AP109"/>
    <mergeCell ref="AQ107:AQ109"/>
    <mergeCell ref="AG107:AG109"/>
    <mergeCell ref="AH107:AH109"/>
    <mergeCell ref="AI107:AI109"/>
    <mergeCell ref="AJ107:AJ109"/>
    <mergeCell ref="AC107:AC109"/>
    <mergeCell ref="AD107:AD109"/>
    <mergeCell ref="AE107:AE109"/>
    <mergeCell ref="AF107:AF109"/>
    <mergeCell ref="B3:G3"/>
    <mergeCell ref="C32:C33"/>
    <mergeCell ref="B9:B10"/>
    <mergeCell ref="H9:H10"/>
    <mergeCell ref="C17:F17"/>
    <mergeCell ref="D32:D33"/>
    <mergeCell ref="H32:H33"/>
    <mergeCell ref="G30:J31"/>
    <mergeCell ref="B30:F31"/>
    <mergeCell ref="I17:L17"/>
    <mergeCell ref="G107:G109"/>
    <mergeCell ref="B98:C99"/>
    <mergeCell ref="D98:D99"/>
    <mergeCell ref="K98:L99"/>
    <mergeCell ref="B107:B109"/>
    <mergeCell ref="C107:C109"/>
    <mergeCell ref="D107:D109"/>
    <mergeCell ref="E107:E109"/>
    <mergeCell ref="F107:F109"/>
    <mergeCell ref="H107:H109"/>
    <mergeCell ref="I107:I109"/>
    <mergeCell ref="M107:M109"/>
    <mergeCell ref="K107:K109"/>
    <mergeCell ref="L107:L109"/>
    <mergeCell ref="N107:N109"/>
    <mergeCell ref="AA107:AA109"/>
    <mergeCell ref="U107:U109"/>
    <mergeCell ref="V107:V109"/>
    <mergeCell ref="W107:W109"/>
    <mergeCell ref="X107:X109"/>
    <mergeCell ref="Z107:Z109"/>
    <mergeCell ref="T107:T109"/>
    <mergeCell ref="Y107:Y109"/>
    <mergeCell ref="O107:O109"/>
    <mergeCell ref="Q107:Q109"/>
    <mergeCell ref="R107:R109"/>
    <mergeCell ref="P107:P109"/>
  </mergeCells>
  <phoneticPr fontId="0" type="noConversion"/>
  <printOptions horizontalCentered="1" verticalCentered="1"/>
  <pageMargins left="0.75" right="0.75" top="1" bottom="1" header="0" footer="0"/>
  <pageSetup paperSize="9" fitToWidth="0" pageOrder="overThenDown" orientation="portrait" verticalDpi="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tabColor theme="6" tint="0.39997558519241921"/>
    <pageSetUpPr fitToPage="1"/>
  </sheetPr>
  <dimension ref="A3:AJ595"/>
  <sheetViews>
    <sheetView showGridLines="0" workbookViewId="0">
      <selection activeCell="J11" sqref="J11"/>
    </sheetView>
  </sheetViews>
  <sheetFormatPr baseColWidth="10" defaultColWidth="9.140625" defaultRowHeight="12.75" x14ac:dyDescent="0.2"/>
  <cols>
    <col min="1" max="1" width="11.42578125" customWidth="1"/>
    <col min="2" max="2" width="12.28515625" customWidth="1"/>
    <col min="3" max="3" width="12.28515625" style="63" customWidth="1"/>
    <col min="4" max="4" width="12.28515625" customWidth="1"/>
    <col min="5" max="5" width="12.7109375" customWidth="1"/>
    <col min="6" max="6" width="14.140625" customWidth="1"/>
    <col min="7" max="8" width="12.28515625" customWidth="1"/>
    <col min="9" max="9" width="12.85546875" customWidth="1"/>
    <col min="10" max="15" width="12.28515625" customWidth="1"/>
    <col min="16" max="18" width="12.28515625" style="29" customWidth="1"/>
    <col min="19" max="24" width="12.28515625" customWidth="1"/>
    <col min="25" max="27" width="12.28515625" style="29" customWidth="1"/>
    <col min="28" max="30" width="12.28515625" customWidth="1"/>
    <col min="31" max="31" width="13.28515625" customWidth="1"/>
    <col min="32" max="32" width="9.28515625" customWidth="1"/>
    <col min="33" max="33" width="11.28515625" customWidth="1"/>
    <col min="34" max="34" width="11.7109375" style="29" customWidth="1"/>
    <col min="35" max="35" width="12.85546875" style="29" customWidth="1"/>
    <col min="36" max="36" width="14.7109375" style="29" customWidth="1"/>
    <col min="37" max="256" width="11.42578125" customWidth="1"/>
  </cols>
  <sheetData>
    <row r="3" spans="2:9" ht="20.25" x14ac:dyDescent="0.3">
      <c r="B3" s="1360" t="str">
        <f>'Datos generales'!C6</f>
        <v>Nombre de la empresa</v>
      </c>
      <c r="C3" s="1360"/>
      <c r="D3" s="1360"/>
      <c r="E3" s="1360"/>
      <c r="F3" s="1360"/>
      <c r="G3" s="1360"/>
    </row>
    <row r="6" spans="2:9" ht="15.75" x14ac:dyDescent="0.25">
      <c r="B6" s="138" t="s">
        <v>648</v>
      </c>
    </row>
    <row r="8" spans="2:9" hidden="1" x14ac:dyDescent="0.2">
      <c r="B8" t="s">
        <v>649</v>
      </c>
      <c r="C8"/>
      <c r="D8" s="63">
        <f>'Datos generales'!N10</f>
        <v>43831</v>
      </c>
      <c r="E8" s="110">
        <f>YEAR(D8)</f>
        <v>2020</v>
      </c>
    </row>
    <row r="9" spans="2:9" x14ac:dyDescent="0.2">
      <c r="D9" s="1"/>
    </row>
    <row r="10" spans="2:9" x14ac:dyDescent="0.2">
      <c r="B10" s="1411" t="s">
        <v>589</v>
      </c>
      <c r="C10"/>
      <c r="D10" s="393" t="s">
        <v>590</v>
      </c>
      <c r="E10" s="392" t="s">
        <v>591</v>
      </c>
      <c r="F10" s="392" t="s">
        <v>229</v>
      </c>
    </row>
    <row r="11" spans="2:9" ht="13.5" thickBot="1" x14ac:dyDescent="0.25">
      <c r="B11" s="1411"/>
      <c r="C11"/>
      <c r="D11" s="393" t="s">
        <v>594</v>
      </c>
      <c r="E11" s="393" t="s">
        <v>595</v>
      </c>
      <c r="F11" s="393" t="s">
        <v>596</v>
      </c>
      <c r="H11" s="61"/>
      <c r="I11" s="61"/>
    </row>
    <row r="12" spans="2:9" ht="18" customHeight="1" thickTop="1" x14ac:dyDescent="0.2">
      <c r="B12" s="395" t="s">
        <v>650</v>
      </c>
      <c r="C12" s="396"/>
      <c r="D12" s="397">
        <f>'Entrada Inver_Finan'!D129</f>
        <v>0</v>
      </c>
      <c r="E12" s="398"/>
      <c r="F12" s="386"/>
      <c r="H12" s="61"/>
      <c r="I12" s="61"/>
    </row>
    <row r="13" spans="2:9" ht="18" customHeight="1" x14ac:dyDescent="0.2">
      <c r="B13" s="100" t="s">
        <v>651</v>
      </c>
      <c r="C13" s="394"/>
      <c r="D13" s="295">
        <f>SUM(C24:C35)-D12</f>
        <v>0</v>
      </c>
      <c r="E13" s="295">
        <f>SUM(D24:D35)</f>
        <v>0</v>
      </c>
      <c r="F13" s="363">
        <f>ROUND(SUM(E24:E35),5)</f>
        <v>0</v>
      </c>
      <c r="H13" s="61"/>
      <c r="I13" s="61"/>
    </row>
    <row r="14" spans="2:9" ht="22.5" customHeight="1" x14ac:dyDescent="0.2">
      <c r="B14" s="100" t="s">
        <v>96</v>
      </c>
      <c r="C14" s="394"/>
      <c r="D14" s="295">
        <f>SUM(C36:C47)</f>
        <v>0</v>
      </c>
      <c r="E14" s="295">
        <f>SUM(D36:D47)</f>
        <v>0</v>
      </c>
      <c r="F14" s="363">
        <f>ROUND(SUM(E36:E47),5)</f>
        <v>0</v>
      </c>
      <c r="H14" s="61"/>
      <c r="I14" s="61"/>
    </row>
    <row r="15" spans="2:9" ht="22.5" customHeight="1" thickBot="1" x14ac:dyDescent="0.25">
      <c r="B15" s="209" t="s">
        <v>97</v>
      </c>
      <c r="C15" s="399"/>
      <c r="D15" s="364">
        <f>SUM(C48:C59)</f>
        <v>0</v>
      </c>
      <c r="E15" s="364">
        <f>SUM(D48:D59)</f>
        <v>0</v>
      </c>
      <c r="F15" s="365">
        <f>ROUND(SUM(E48:E59),5)</f>
        <v>0</v>
      </c>
    </row>
    <row r="16" spans="2:9" ht="13.5" thickTop="1" x14ac:dyDescent="0.2">
      <c r="B16" s="1"/>
      <c r="C16" s="61"/>
      <c r="D16" s="61"/>
      <c r="E16" s="61"/>
    </row>
    <row r="17" spans="2:20" x14ac:dyDescent="0.2">
      <c r="B17" s="1"/>
      <c r="C17" s="61"/>
      <c r="D17" s="61"/>
      <c r="E17" s="61"/>
    </row>
    <row r="18" spans="2:20" x14ac:dyDescent="0.2">
      <c r="B18" s="1"/>
      <c r="C18" s="61"/>
      <c r="D18" s="61"/>
      <c r="E18" s="61"/>
    </row>
    <row r="19" spans="2:20" ht="12.75" customHeight="1" thickBot="1" x14ac:dyDescent="0.3">
      <c r="B19" s="138" t="s">
        <v>652</v>
      </c>
    </row>
    <row r="20" spans="2:20" x14ac:dyDescent="0.2">
      <c r="B20" s="1420" t="s">
        <v>612</v>
      </c>
      <c r="C20" s="1421"/>
      <c r="D20" s="1421"/>
      <c r="E20" s="1422"/>
      <c r="G20" s="1432" t="str">
        <f>B66</f>
        <v>Préstamo de...( Entidad financiera A)</v>
      </c>
      <c r="H20" s="1433"/>
      <c r="I20" s="1434"/>
      <c r="J20" s="1432" t="str">
        <f>K66</f>
        <v>Préstamo de...( Entidad financiera B)</v>
      </c>
      <c r="K20" s="1433"/>
      <c r="L20" s="1434"/>
      <c r="M20" s="1432">
        <f>T66</f>
        <v>0</v>
      </c>
      <c r="N20" s="1433"/>
      <c r="O20" s="1434"/>
      <c r="R20"/>
      <c r="S20" s="41"/>
      <c r="T20" s="41"/>
    </row>
    <row r="21" spans="2:20" ht="13.5" thickBot="1" x14ac:dyDescent="0.25">
      <c r="B21" s="1440"/>
      <c r="C21" s="1441"/>
      <c r="D21" s="1441"/>
      <c r="E21" s="1442"/>
      <c r="G21" s="1435"/>
      <c r="H21" s="1436"/>
      <c r="I21" s="1437"/>
      <c r="J21" s="1435"/>
      <c r="K21" s="1436"/>
      <c r="L21" s="1437"/>
      <c r="M21" s="1444"/>
      <c r="N21" s="1445"/>
      <c r="O21" s="1446"/>
      <c r="R21"/>
      <c r="S21" s="41"/>
      <c r="T21" s="41"/>
    </row>
    <row r="22" spans="2:20" x14ac:dyDescent="0.2">
      <c r="B22" s="212"/>
      <c r="C22" s="1409" t="s">
        <v>613</v>
      </c>
      <c r="D22" s="375" t="s">
        <v>614</v>
      </c>
      <c r="E22" s="222" t="s">
        <v>229</v>
      </c>
      <c r="G22" s="1438" t="s">
        <v>615</v>
      </c>
      <c r="H22" s="1447" t="s">
        <v>614</v>
      </c>
      <c r="I22" s="368" t="s">
        <v>616</v>
      </c>
      <c r="J22" s="1255" t="s">
        <v>615</v>
      </c>
      <c r="K22" s="1447" t="s">
        <v>614</v>
      </c>
      <c r="L22" s="368" t="s">
        <v>616</v>
      </c>
      <c r="M22" s="1439" t="s">
        <v>615</v>
      </c>
      <c r="N22" s="1448" t="s">
        <v>614</v>
      </c>
      <c r="O22" s="369" t="s">
        <v>616</v>
      </c>
      <c r="R22"/>
      <c r="S22" s="41"/>
      <c r="T22" s="41"/>
    </row>
    <row r="23" spans="2:20" ht="13.5" thickBot="1" x14ac:dyDescent="0.25">
      <c r="B23" s="213" t="s">
        <v>152</v>
      </c>
      <c r="C23" s="1443"/>
      <c r="D23" s="106" t="s">
        <v>619</v>
      </c>
      <c r="E23" s="223" t="s">
        <v>596</v>
      </c>
      <c r="G23" s="1439"/>
      <c r="H23" s="1448"/>
      <c r="I23" s="369" t="s">
        <v>596</v>
      </c>
      <c r="J23" s="1252"/>
      <c r="K23" s="1448"/>
      <c r="L23" s="369" t="s">
        <v>596</v>
      </c>
      <c r="M23" s="1449"/>
      <c r="N23" s="1450"/>
      <c r="O23" s="369" t="s">
        <v>596</v>
      </c>
      <c r="R23"/>
      <c r="S23" s="41"/>
      <c r="T23" s="41"/>
    </row>
    <row r="24" spans="2:20" ht="13.5" thickBot="1" x14ac:dyDescent="0.25">
      <c r="B24" s="214">
        <f>DATE(E8,1,1)</f>
        <v>43831</v>
      </c>
      <c r="C24" s="109">
        <f t="shared" ref="C24:E59" si="0">G24+J24+M24</f>
        <v>0</v>
      </c>
      <c r="D24" s="60">
        <f t="shared" si="0"/>
        <v>0</v>
      </c>
      <c r="E24" s="215">
        <f t="shared" si="0"/>
        <v>0</v>
      </c>
      <c r="G24" s="401">
        <f t="shared" ref="G24:G59" si="1">IF(DATE(YEAR($B24),MONTH($B24),DAY(1))=DATE(YEAR($D$69),MONTH($D$69),DAY(1)),$D$68,0)</f>
        <v>0</v>
      </c>
      <c r="H24" s="402">
        <f t="shared" ref="H24:H59" si="2">IF(ISERROR(VLOOKUP($B24,$C$85:$F$96,3,FALSE))=TRUE,0,VLOOKUP($B24,$C$85:$F$96,3,FALSE))</f>
        <v>0</v>
      </c>
      <c r="I24" s="407">
        <f t="shared" ref="I24:I59" si="3">IF(ISERROR(VLOOKUP($B24,$C$85:$F$96,4,FALSE))=TRUE,0,VLOOKUP($B24,$C$85:$F$96,4,FALSE))</f>
        <v>0</v>
      </c>
      <c r="J24" s="401">
        <f t="shared" ref="J24:J59" si="4">IF(DATE(YEAR($B24),MONTH($B24),DAY(1))=DATE(YEAR($M$69),MONTH($M$69),DAY(1)),$M$68,0)</f>
        <v>0</v>
      </c>
      <c r="K24" s="402">
        <f t="shared" ref="K24:K59" si="5">IF(ISERROR(VLOOKUP($B24,$L$85:$O$96,3,FALSE))=TRUE,0,VLOOKUP($B24,$L$85:$O$96,3,FALSE))</f>
        <v>0</v>
      </c>
      <c r="L24" s="403">
        <f t="shared" ref="L24:L59" si="6">IF(ISERROR(VLOOKUP($B24,$L$85:$O$96,4,FALSE))=TRUE,0,VLOOKUP($B24,$L$85:$O$96,4,FALSE))</f>
        <v>0</v>
      </c>
      <c r="M24">
        <f t="shared" ref="M24:M59" si="7">IF(DATE(YEAR($B24),MONTH($B24),DAY(1))=DATE(YEAR($V$69),MONTH($V$69),DAY(1)),$V$68,0)</f>
        <v>0</v>
      </c>
      <c r="N24" s="408">
        <f t="shared" ref="N24:N59" si="8">IF(ISERROR(VLOOKUP($B24,$U$85:$X$96,3,FALSE))=TRUE,0,VLOOKUP($B24,$U$85:$X$96,3,FALSE))</f>
        <v>0</v>
      </c>
      <c r="O24" s="408">
        <f t="shared" ref="O24:O59" si="9">IF(ISERROR(VLOOKUP($B24,$U$85:$X$96,4,FALSE))=TRUE,0,VLOOKUP($B24,$U$85:$X$96,4,FALSE))</f>
        <v>0</v>
      </c>
      <c r="R24"/>
      <c r="S24" s="41"/>
      <c r="T24" s="41"/>
    </row>
    <row r="25" spans="2:20" x14ac:dyDescent="0.2">
      <c r="B25" s="214">
        <f>DATE(YEAR(B24),MONTH(B24)+1,DAY(B24))</f>
        <v>43862</v>
      </c>
      <c r="C25" s="109">
        <f t="shared" si="0"/>
        <v>0</v>
      </c>
      <c r="D25" s="60">
        <f t="shared" si="0"/>
        <v>0</v>
      </c>
      <c r="E25" s="215">
        <f t="shared" si="0"/>
        <v>0</v>
      </c>
      <c r="G25" s="404">
        <f t="shared" si="1"/>
        <v>0</v>
      </c>
      <c r="H25" s="60">
        <f t="shared" si="2"/>
        <v>0</v>
      </c>
      <c r="I25" s="376">
        <f t="shared" si="3"/>
        <v>0</v>
      </c>
      <c r="J25" s="404">
        <f t="shared" si="4"/>
        <v>0</v>
      </c>
      <c r="K25" s="60">
        <f t="shared" si="5"/>
        <v>0</v>
      </c>
      <c r="L25" s="376">
        <f t="shared" si="6"/>
        <v>0</v>
      </c>
      <c r="M25" s="401">
        <f t="shared" si="7"/>
        <v>0</v>
      </c>
      <c r="N25" s="402">
        <f t="shared" si="8"/>
        <v>0</v>
      </c>
      <c r="O25" s="403">
        <f t="shared" si="9"/>
        <v>0</v>
      </c>
      <c r="R25"/>
      <c r="S25" s="41"/>
      <c r="T25" s="41"/>
    </row>
    <row r="26" spans="2:20" x14ac:dyDescent="0.2">
      <c r="B26" s="214">
        <f t="shared" ref="B26:B59" si="10">DATE(YEAR(B25),MONTH(B25)+1,DAY(B25))</f>
        <v>43891</v>
      </c>
      <c r="C26" s="109">
        <f t="shared" si="0"/>
        <v>0</v>
      </c>
      <c r="D26" s="60">
        <f t="shared" si="0"/>
        <v>0</v>
      </c>
      <c r="E26" s="215">
        <f t="shared" si="0"/>
        <v>0</v>
      </c>
      <c r="G26" s="404">
        <f t="shared" si="1"/>
        <v>0</v>
      </c>
      <c r="H26" s="60">
        <f t="shared" si="2"/>
        <v>0</v>
      </c>
      <c r="I26" s="376">
        <f t="shared" si="3"/>
        <v>0</v>
      </c>
      <c r="J26" s="404">
        <f t="shared" si="4"/>
        <v>0</v>
      </c>
      <c r="K26" s="60">
        <f t="shared" si="5"/>
        <v>0</v>
      </c>
      <c r="L26" s="376">
        <f t="shared" si="6"/>
        <v>0</v>
      </c>
      <c r="M26" s="404">
        <f t="shared" si="7"/>
        <v>0</v>
      </c>
      <c r="N26" s="60">
        <f t="shared" si="8"/>
        <v>0</v>
      </c>
      <c r="O26" s="215">
        <f t="shared" si="9"/>
        <v>0</v>
      </c>
      <c r="R26"/>
      <c r="S26" s="41"/>
      <c r="T26" s="41"/>
    </row>
    <row r="27" spans="2:20" x14ac:dyDescent="0.2">
      <c r="B27" s="214">
        <f t="shared" si="10"/>
        <v>43922</v>
      </c>
      <c r="C27" s="109">
        <f t="shared" si="0"/>
        <v>0</v>
      </c>
      <c r="D27" s="60">
        <f t="shared" si="0"/>
        <v>0</v>
      </c>
      <c r="E27" s="215">
        <f t="shared" si="0"/>
        <v>0</v>
      </c>
      <c r="G27" s="404">
        <f t="shared" si="1"/>
        <v>0</v>
      </c>
      <c r="H27" s="60">
        <f t="shared" si="2"/>
        <v>0</v>
      </c>
      <c r="I27" s="376">
        <f t="shared" si="3"/>
        <v>0</v>
      </c>
      <c r="J27" s="404">
        <f t="shared" si="4"/>
        <v>0</v>
      </c>
      <c r="K27" s="60">
        <f t="shared" si="5"/>
        <v>0</v>
      </c>
      <c r="L27" s="376">
        <f t="shared" si="6"/>
        <v>0</v>
      </c>
      <c r="M27" s="404">
        <f t="shared" si="7"/>
        <v>0</v>
      </c>
      <c r="N27" s="60">
        <f t="shared" si="8"/>
        <v>0</v>
      </c>
      <c r="O27" s="215">
        <f t="shared" si="9"/>
        <v>0</v>
      </c>
      <c r="R27"/>
      <c r="S27" s="41"/>
      <c r="T27" s="41"/>
    </row>
    <row r="28" spans="2:20" x14ac:dyDescent="0.2">
      <c r="B28" s="214">
        <f t="shared" si="10"/>
        <v>43952</v>
      </c>
      <c r="C28" s="109">
        <f t="shared" si="0"/>
        <v>0</v>
      </c>
      <c r="D28" s="60">
        <f t="shared" si="0"/>
        <v>0</v>
      </c>
      <c r="E28" s="215">
        <f t="shared" si="0"/>
        <v>0</v>
      </c>
      <c r="G28" s="404">
        <f t="shared" si="1"/>
        <v>0</v>
      </c>
      <c r="H28" s="60">
        <f t="shared" si="2"/>
        <v>0</v>
      </c>
      <c r="I28" s="376">
        <f t="shared" si="3"/>
        <v>0</v>
      </c>
      <c r="J28" s="404">
        <f t="shared" si="4"/>
        <v>0</v>
      </c>
      <c r="K28" s="60">
        <f t="shared" si="5"/>
        <v>0</v>
      </c>
      <c r="L28" s="376">
        <f t="shared" si="6"/>
        <v>0</v>
      </c>
      <c r="M28" s="404">
        <f t="shared" si="7"/>
        <v>0</v>
      </c>
      <c r="N28" s="60">
        <f t="shared" si="8"/>
        <v>0</v>
      </c>
      <c r="O28" s="215">
        <f t="shared" si="9"/>
        <v>0</v>
      </c>
      <c r="R28"/>
      <c r="S28" s="41"/>
      <c r="T28" s="58"/>
    </row>
    <row r="29" spans="2:20" x14ac:dyDescent="0.2">
      <c r="B29" s="214">
        <f t="shared" si="10"/>
        <v>43983</v>
      </c>
      <c r="C29" s="109">
        <f t="shared" si="0"/>
        <v>0</v>
      </c>
      <c r="D29" s="60">
        <f t="shared" si="0"/>
        <v>0</v>
      </c>
      <c r="E29" s="215">
        <f t="shared" si="0"/>
        <v>0</v>
      </c>
      <c r="G29" s="404">
        <f t="shared" si="1"/>
        <v>0</v>
      </c>
      <c r="H29" s="60">
        <f t="shared" si="2"/>
        <v>0</v>
      </c>
      <c r="I29" s="376">
        <f t="shared" si="3"/>
        <v>0</v>
      </c>
      <c r="J29" s="404">
        <f t="shared" si="4"/>
        <v>0</v>
      </c>
      <c r="K29" s="60">
        <f t="shared" si="5"/>
        <v>0</v>
      </c>
      <c r="L29" s="376">
        <f t="shared" si="6"/>
        <v>0</v>
      </c>
      <c r="M29" s="404">
        <f t="shared" si="7"/>
        <v>0</v>
      </c>
      <c r="N29" s="60">
        <f t="shared" si="8"/>
        <v>0</v>
      </c>
      <c r="O29" s="215">
        <f t="shared" si="9"/>
        <v>0</v>
      </c>
      <c r="R29"/>
      <c r="S29" s="41"/>
      <c r="T29" s="41"/>
    </row>
    <row r="30" spans="2:20" x14ac:dyDescent="0.2">
      <c r="B30" s="214">
        <f t="shared" si="10"/>
        <v>44013</v>
      </c>
      <c r="C30" s="109">
        <f t="shared" si="0"/>
        <v>0</v>
      </c>
      <c r="D30" s="60">
        <f t="shared" si="0"/>
        <v>0</v>
      </c>
      <c r="E30" s="215">
        <f t="shared" si="0"/>
        <v>0</v>
      </c>
      <c r="G30" s="404">
        <f t="shared" si="1"/>
        <v>0</v>
      </c>
      <c r="H30" s="60">
        <f t="shared" si="2"/>
        <v>0</v>
      </c>
      <c r="I30" s="376">
        <f t="shared" si="3"/>
        <v>0</v>
      </c>
      <c r="J30" s="404">
        <f t="shared" si="4"/>
        <v>0</v>
      </c>
      <c r="K30" s="60">
        <f t="shared" si="5"/>
        <v>0</v>
      </c>
      <c r="L30" s="376">
        <f t="shared" si="6"/>
        <v>0</v>
      </c>
      <c r="M30" s="404">
        <f t="shared" si="7"/>
        <v>0</v>
      </c>
      <c r="N30" s="60">
        <f t="shared" si="8"/>
        <v>0</v>
      </c>
      <c r="O30" s="215">
        <f t="shared" si="9"/>
        <v>0</v>
      </c>
      <c r="R30"/>
      <c r="S30" s="41"/>
      <c r="T30" s="58"/>
    </row>
    <row r="31" spans="2:20" x14ac:dyDescent="0.2">
      <c r="B31" s="214">
        <f t="shared" si="10"/>
        <v>44044</v>
      </c>
      <c r="C31" s="109">
        <f t="shared" si="0"/>
        <v>0</v>
      </c>
      <c r="D31" s="60">
        <f t="shared" si="0"/>
        <v>0</v>
      </c>
      <c r="E31" s="215">
        <f t="shared" si="0"/>
        <v>0</v>
      </c>
      <c r="G31" s="404">
        <f t="shared" si="1"/>
        <v>0</v>
      </c>
      <c r="H31" s="60">
        <f t="shared" si="2"/>
        <v>0</v>
      </c>
      <c r="I31" s="376">
        <f t="shared" si="3"/>
        <v>0</v>
      </c>
      <c r="J31" s="404">
        <f t="shared" si="4"/>
        <v>0</v>
      </c>
      <c r="K31" s="60">
        <f t="shared" si="5"/>
        <v>0</v>
      </c>
      <c r="L31" s="376">
        <f t="shared" si="6"/>
        <v>0</v>
      </c>
      <c r="M31" s="404">
        <f t="shared" si="7"/>
        <v>0</v>
      </c>
      <c r="N31" s="60">
        <f t="shared" si="8"/>
        <v>0</v>
      </c>
      <c r="O31" s="215">
        <f t="shared" si="9"/>
        <v>0</v>
      </c>
      <c r="R31"/>
      <c r="S31" s="41"/>
      <c r="T31" s="41"/>
    </row>
    <row r="32" spans="2:20" x14ac:dyDescent="0.2">
      <c r="B32" s="214">
        <f t="shared" si="10"/>
        <v>44075</v>
      </c>
      <c r="C32" s="109">
        <f t="shared" si="0"/>
        <v>0</v>
      </c>
      <c r="D32" s="60">
        <f t="shared" si="0"/>
        <v>0</v>
      </c>
      <c r="E32" s="215">
        <f t="shared" si="0"/>
        <v>0</v>
      </c>
      <c r="G32" s="404">
        <f t="shared" si="1"/>
        <v>0</v>
      </c>
      <c r="H32" s="60">
        <f t="shared" si="2"/>
        <v>0</v>
      </c>
      <c r="I32" s="376">
        <f t="shared" si="3"/>
        <v>0</v>
      </c>
      <c r="J32" s="404">
        <f t="shared" si="4"/>
        <v>0</v>
      </c>
      <c r="K32" s="60">
        <f t="shared" si="5"/>
        <v>0</v>
      </c>
      <c r="L32" s="376">
        <f t="shared" si="6"/>
        <v>0</v>
      </c>
      <c r="M32" s="404">
        <f t="shared" si="7"/>
        <v>0</v>
      </c>
      <c r="N32" s="60">
        <f t="shared" si="8"/>
        <v>0</v>
      </c>
      <c r="O32" s="215">
        <f t="shared" si="9"/>
        <v>0</v>
      </c>
      <c r="R32"/>
      <c r="S32" s="41"/>
      <c r="T32" s="41"/>
    </row>
    <row r="33" spans="2:20" x14ac:dyDescent="0.2">
      <c r="B33" s="214">
        <f t="shared" si="10"/>
        <v>44105</v>
      </c>
      <c r="C33" s="109">
        <f t="shared" si="0"/>
        <v>0</v>
      </c>
      <c r="D33" s="60">
        <f t="shared" si="0"/>
        <v>0</v>
      </c>
      <c r="E33" s="215">
        <f t="shared" si="0"/>
        <v>0</v>
      </c>
      <c r="G33" s="404">
        <f t="shared" si="1"/>
        <v>0</v>
      </c>
      <c r="H33" s="60">
        <f t="shared" si="2"/>
        <v>0</v>
      </c>
      <c r="I33" s="376">
        <f t="shared" si="3"/>
        <v>0</v>
      </c>
      <c r="J33" s="404">
        <f t="shared" si="4"/>
        <v>0</v>
      </c>
      <c r="K33" s="60">
        <f t="shared" si="5"/>
        <v>0</v>
      </c>
      <c r="L33" s="376">
        <f t="shared" si="6"/>
        <v>0</v>
      </c>
      <c r="M33" s="404">
        <f t="shared" si="7"/>
        <v>0</v>
      </c>
      <c r="N33" s="60">
        <f t="shared" si="8"/>
        <v>0</v>
      </c>
      <c r="O33" s="215">
        <f t="shared" si="9"/>
        <v>0</v>
      </c>
      <c r="R33"/>
      <c r="S33" s="41"/>
      <c r="T33" s="41"/>
    </row>
    <row r="34" spans="2:20" x14ac:dyDescent="0.2">
      <c r="B34" s="214">
        <f t="shared" si="10"/>
        <v>44136</v>
      </c>
      <c r="C34" s="109">
        <f t="shared" si="0"/>
        <v>0</v>
      </c>
      <c r="D34" s="60">
        <f t="shared" si="0"/>
        <v>0</v>
      </c>
      <c r="E34" s="215">
        <f t="shared" si="0"/>
        <v>0</v>
      </c>
      <c r="G34" s="404">
        <f t="shared" si="1"/>
        <v>0</v>
      </c>
      <c r="H34" s="60">
        <f t="shared" si="2"/>
        <v>0</v>
      </c>
      <c r="I34" s="376">
        <f t="shared" si="3"/>
        <v>0</v>
      </c>
      <c r="J34" s="404">
        <f t="shared" si="4"/>
        <v>0</v>
      </c>
      <c r="K34" s="60">
        <f t="shared" si="5"/>
        <v>0</v>
      </c>
      <c r="L34" s="376">
        <f t="shared" si="6"/>
        <v>0</v>
      </c>
      <c r="M34" s="404">
        <f t="shared" si="7"/>
        <v>0</v>
      </c>
      <c r="N34" s="60">
        <f t="shared" si="8"/>
        <v>0</v>
      </c>
      <c r="O34" s="215">
        <f t="shared" si="9"/>
        <v>0</v>
      </c>
      <c r="R34"/>
      <c r="S34" s="41"/>
      <c r="T34" s="41"/>
    </row>
    <row r="35" spans="2:20" x14ac:dyDescent="0.2">
      <c r="B35" s="370">
        <f t="shared" si="10"/>
        <v>44166</v>
      </c>
      <c r="C35" s="665">
        <f t="shared" si="0"/>
        <v>0</v>
      </c>
      <c r="D35" s="352">
        <f t="shared" si="0"/>
        <v>0</v>
      </c>
      <c r="E35" s="371">
        <f t="shared" si="0"/>
        <v>0</v>
      </c>
      <c r="G35" s="405">
        <f t="shared" si="1"/>
        <v>0</v>
      </c>
      <c r="H35" s="352">
        <f t="shared" si="2"/>
        <v>0</v>
      </c>
      <c r="I35" s="377">
        <f t="shared" si="3"/>
        <v>0</v>
      </c>
      <c r="J35" s="405">
        <f t="shared" si="4"/>
        <v>0</v>
      </c>
      <c r="K35" s="352">
        <f t="shared" si="5"/>
        <v>0</v>
      </c>
      <c r="L35" s="377">
        <f t="shared" si="6"/>
        <v>0</v>
      </c>
      <c r="M35" s="405">
        <f t="shared" si="7"/>
        <v>0</v>
      </c>
      <c r="N35" s="352">
        <f t="shared" si="8"/>
        <v>0</v>
      </c>
      <c r="O35" s="371">
        <f t="shared" si="9"/>
        <v>0</v>
      </c>
      <c r="P35" s="34"/>
      <c r="Q35" s="34"/>
      <c r="R35" s="1"/>
      <c r="S35" s="1"/>
      <c r="T35" s="1"/>
    </row>
    <row r="36" spans="2:20" x14ac:dyDescent="0.2">
      <c r="B36" s="214">
        <f t="shared" si="10"/>
        <v>44197</v>
      </c>
      <c r="C36" s="109">
        <f t="shared" si="0"/>
        <v>0</v>
      </c>
      <c r="D36" s="60">
        <f t="shared" si="0"/>
        <v>0</v>
      </c>
      <c r="E36" s="215">
        <f t="shared" si="0"/>
        <v>0</v>
      </c>
      <c r="G36" s="404">
        <f t="shared" si="1"/>
        <v>0</v>
      </c>
      <c r="H36" s="60">
        <f t="shared" si="2"/>
        <v>0</v>
      </c>
      <c r="I36" s="376">
        <f t="shared" si="3"/>
        <v>0</v>
      </c>
      <c r="J36" s="404">
        <f t="shared" si="4"/>
        <v>0</v>
      </c>
      <c r="K36" s="60">
        <f t="shared" si="5"/>
        <v>0</v>
      </c>
      <c r="L36" s="376">
        <f t="shared" si="6"/>
        <v>0</v>
      </c>
      <c r="M36" s="404">
        <f t="shared" si="7"/>
        <v>0</v>
      </c>
      <c r="N36" s="60">
        <f t="shared" si="8"/>
        <v>0</v>
      </c>
      <c r="O36" s="215">
        <f t="shared" si="9"/>
        <v>0</v>
      </c>
      <c r="R36"/>
      <c r="S36" s="41"/>
      <c r="T36" s="41"/>
    </row>
    <row r="37" spans="2:20" x14ac:dyDescent="0.2">
      <c r="B37" s="214">
        <f t="shared" si="10"/>
        <v>44228</v>
      </c>
      <c r="C37" s="109">
        <f t="shared" si="0"/>
        <v>0</v>
      </c>
      <c r="D37" s="60">
        <f t="shared" si="0"/>
        <v>0</v>
      </c>
      <c r="E37" s="215">
        <f t="shared" si="0"/>
        <v>0</v>
      </c>
      <c r="G37" s="404">
        <f t="shared" si="1"/>
        <v>0</v>
      </c>
      <c r="H37" s="60">
        <f t="shared" si="2"/>
        <v>0</v>
      </c>
      <c r="I37" s="376">
        <f t="shared" si="3"/>
        <v>0</v>
      </c>
      <c r="J37" s="404">
        <f t="shared" si="4"/>
        <v>0</v>
      </c>
      <c r="K37" s="60">
        <f t="shared" si="5"/>
        <v>0</v>
      </c>
      <c r="L37" s="376">
        <f t="shared" si="6"/>
        <v>0</v>
      </c>
      <c r="M37" s="404">
        <f t="shared" si="7"/>
        <v>0</v>
      </c>
      <c r="N37" s="60">
        <f t="shared" si="8"/>
        <v>0</v>
      </c>
      <c r="O37" s="215">
        <f t="shared" si="9"/>
        <v>0</v>
      </c>
      <c r="R37"/>
      <c r="S37" s="41"/>
      <c r="T37" s="41"/>
    </row>
    <row r="38" spans="2:20" x14ac:dyDescent="0.2">
      <c r="B38" s="214">
        <f t="shared" si="10"/>
        <v>44256</v>
      </c>
      <c r="C38" s="109">
        <f t="shared" si="0"/>
        <v>0</v>
      </c>
      <c r="D38" s="60">
        <f t="shared" si="0"/>
        <v>0</v>
      </c>
      <c r="E38" s="215">
        <f t="shared" si="0"/>
        <v>0</v>
      </c>
      <c r="G38" s="404">
        <f t="shared" si="1"/>
        <v>0</v>
      </c>
      <c r="H38" s="60">
        <f t="shared" si="2"/>
        <v>0</v>
      </c>
      <c r="I38" s="376">
        <f t="shared" si="3"/>
        <v>0</v>
      </c>
      <c r="J38" s="404">
        <f t="shared" si="4"/>
        <v>0</v>
      </c>
      <c r="K38" s="60">
        <f t="shared" si="5"/>
        <v>0</v>
      </c>
      <c r="L38" s="376">
        <f t="shared" si="6"/>
        <v>0</v>
      </c>
      <c r="M38" s="404">
        <f t="shared" si="7"/>
        <v>0</v>
      </c>
      <c r="N38" s="60">
        <f t="shared" si="8"/>
        <v>0</v>
      </c>
      <c r="O38" s="215">
        <f t="shared" si="9"/>
        <v>0</v>
      </c>
      <c r="R38"/>
      <c r="S38" s="41"/>
      <c r="T38" s="41"/>
    </row>
    <row r="39" spans="2:20" x14ac:dyDescent="0.2">
      <c r="B39" s="214">
        <f t="shared" si="10"/>
        <v>44287</v>
      </c>
      <c r="C39" s="109">
        <f t="shared" si="0"/>
        <v>0</v>
      </c>
      <c r="D39" s="60">
        <f t="shared" si="0"/>
        <v>0</v>
      </c>
      <c r="E39" s="215">
        <f t="shared" si="0"/>
        <v>0</v>
      </c>
      <c r="G39" s="404">
        <f t="shared" si="1"/>
        <v>0</v>
      </c>
      <c r="H39" s="60">
        <f t="shared" si="2"/>
        <v>0</v>
      </c>
      <c r="I39" s="376">
        <f t="shared" si="3"/>
        <v>0</v>
      </c>
      <c r="J39" s="404">
        <f t="shared" si="4"/>
        <v>0</v>
      </c>
      <c r="K39" s="60">
        <f t="shared" si="5"/>
        <v>0</v>
      </c>
      <c r="L39" s="376">
        <f t="shared" si="6"/>
        <v>0</v>
      </c>
      <c r="M39" s="404">
        <f t="shared" si="7"/>
        <v>0</v>
      </c>
      <c r="N39" s="60">
        <f t="shared" si="8"/>
        <v>0</v>
      </c>
      <c r="O39" s="215">
        <f t="shared" si="9"/>
        <v>0</v>
      </c>
      <c r="R39"/>
      <c r="S39" s="41"/>
      <c r="T39" s="41"/>
    </row>
    <row r="40" spans="2:20" x14ac:dyDescent="0.2">
      <c r="B40" s="214">
        <f t="shared" si="10"/>
        <v>44317</v>
      </c>
      <c r="C40" s="109">
        <f t="shared" si="0"/>
        <v>0</v>
      </c>
      <c r="D40" s="60">
        <f t="shared" si="0"/>
        <v>0</v>
      </c>
      <c r="E40" s="215">
        <f t="shared" si="0"/>
        <v>0</v>
      </c>
      <c r="G40" s="404">
        <f t="shared" si="1"/>
        <v>0</v>
      </c>
      <c r="H40" s="60">
        <f t="shared" si="2"/>
        <v>0</v>
      </c>
      <c r="I40" s="376">
        <f t="shared" si="3"/>
        <v>0</v>
      </c>
      <c r="J40" s="404">
        <f t="shared" si="4"/>
        <v>0</v>
      </c>
      <c r="K40" s="60">
        <f t="shared" si="5"/>
        <v>0</v>
      </c>
      <c r="L40" s="376">
        <f t="shared" si="6"/>
        <v>0</v>
      </c>
      <c r="M40" s="404">
        <f t="shared" si="7"/>
        <v>0</v>
      </c>
      <c r="N40" s="60">
        <f t="shared" si="8"/>
        <v>0</v>
      </c>
      <c r="O40" s="215">
        <f t="shared" si="9"/>
        <v>0</v>
      </c>
      <c r="R40"/>
      <c r="S40" s="41"/>
      <c r="T40" s="41"/>
    </row>
    <row r="41" spans="2:20" x14ac:dyDescent="0.2">
      <c r="B41" s="214">
        <f t="shared" si="10"/>
        <v>44348</v>
      </c>
      <c r="C41" s="109">
        <f t="shared" si="0"/>
        <v>0</v>
      </c>
      <c r="D41" s="60">
        <f t="shared" si="0"/>
        <v>0</v>
      </c>
      <c r="E41" s="215">
        <f t="shared" si="0"/>
        <v>0</v>
      </c>
      <c r="G41" s="404">
        <f t="shared" si="1"/>
        <v>0</v>
      </c>
      <c r="H41" s="60">
        <f t="shared" si="2"/>
        <v>0</v>
      </c>
      <c r="I41" s="376">
        <f t="shared" si="3"/>
        <v>0</v>
      </c>
      <c r="J41" s="404">
        <f t="shared" si="4"/>
        <v>0</v>
      </c>
      <c r="K41" s="60">
        <f t="shared" si="5"/>
        <v>0</v>
      </c>
      <c r="L41" s="376">
        <f t="shared" si="6"/>
        <v>0</v>
      </c>
      <c r="M41" s="404">
        <f t="shared" si="7"/>
        <v>0</v>
      </c>
      <c r="N41" s="60">
        <f t="shared" si="8"/>
        <v>0</v>
      </c>
      <c r="O41" s="215">
        <f t="shared" si="9"/>
        <v>0</v>
      </c>
      <c r="R41"/>
      <c r="S41" s="41"/>
      <c r="T41" s="41"/>
    </row>
    <row r="42" spans="2:20" x14ac:dyDescent="0.2">
      <c r="B42" s="214">
        <f t="shared" si="10"/>
        <v>44378</v>
      </c>
      <c r="C42" s="109">
        <f t="shared" si="0"/>
        <v>0</v>
      </c>
      <c r="D42" s="60">
        <f t="shared" si="0"/>
        <v>0</v>
      </c>
      <c r="E42" s="215">
        <f t="shared" si="0"/>
        <v>0</v>
      </c>
      <c r="G42" s="404">
        <f t="shared" si="1"/>
        <v>0</v>
      </c>
      <c r="H42" s="60">
        <f t="shared" si="2"/>
        <v>0</v>
      </c>
      <c r="I42" s="376">
        <f t="shared" si="3"/>
        <v>0</v>
      </c>
      <c r="J42" s="404">
        <f t="shared" si="4"/>
        <v>0</v>
      </c>
      <c r="K42" s="60">
        <f t="shared" si="5"/>
        <v>0</v>
      </c>
      <c r="L42" s="376">
        <f t="shared" si="6"/>
        <v>0</v>
      </c>
      <c r="M42" s="404">
        <f t="shared" si="7"/>
        <v>0</v>
      </c>
      <c r="N42" s="60">
        <f t="shared" si="8"/>
        <v>0</v>
      </c>
      <c r="O42" s="215">
        <f t="shared" si="9"/>
        <v>0</v>
      </c>
      <c r="R42"/>
      <c r="S42" s="41"/>
      <c r="T42" s="41"/>
    </row>
    <row r="43" spans="2:20" x14ac:dyDescent="0.2">
      <c r="B43" s="214">
        <f t="shared" si="10"/>
        <v>44409</v>
      </c>
      <c r="C43" s="109">
        <f t="shared" si="0"/>
        <v>0</v>
      </c>
      <c r="D43" s="60">
        <f t="shared" si="0"/>
        <v>0</v>
      </c>
      <c r="E43" s="215">
        <f t="shared" si="0"/>
        <v>0</v>
      </c>
      <c r="G43" s="404">
        <f t="shared" si="1"/>
        <v>0</v>
      </c>
      <c r="H43" s="60">
        <f t="shared" si="2"/>
        <v>0</v>
      </c>
      <c r="I43" s="376">
        <f t="shared" si="3"/>
        <v>0</v>
      </c>
      <c r="J43" s="404">
        <f t="shared" si="4"/>
        <v>0</v>
      </c>
      <c r="K43" s="60">
        <f t="shared" si="5"/>
        <v>0</v>
      </c>
      <c r="L43" s="376">
        <f t="shared" si="6"/>
        <v>0</v>
      </c>
      <c r="M43" s="404">
        <f t="shared" si="7"/>
        <v>0</v>
      </c>
      <c r="N43" s="60">
        <f t="shared" si="8"/>
        <v>0</v>
      </c>
      <c r="O43" s="215">
        <f t="shared" si="9"/>
        <v>0</v>
      </c>
      <c r="R43"/>
      <c r="S43" s="41"/>
      <c r="T43" s="41"/>
    </row>
    <row r="44" spans="2:20" x14ac:dyDescent="0.2">
      <c r="B44" s="214">
        <f t="shared" si="10"/>
        <v>44440</v>
      </c>
      <c r="C44" s="109">
        <f t="shared" si="0"/>
        <v>0</v>
      </c>
      <c r="D44" s="60">
        <f t="shared" si="0"/>
        <v>0</v>
      </c>
      <c r="E44" s="215">
        <f t="shared" si="0"/>
        <v>0</v>
      </c>
      <c r="G44" s="404">
        <f t="shared" si="1"/>
        <v>0</v>
      </c>
      <c r="H44" s="60">
        <f t="shared" si="2"/>
        <v>0</v>
      </c>
      <c r="I44" s="376">
        <f t="shared" si="3"/>
        <v>0</v>
      </c>
      <c r="J44" s="404">
        <f t="shared" si="4"/>
        <v>0</v>
      </c>
      <c r="K44" s="60">
        <f t="shared" si="5"/>
        <v>0</v>
      </c>
      <c r="L44" s="376">
        <f t="shared" si="6"/>
        <v>0</v>
      </c>
      <c r="M44" s="404">
        <f t="shared" si="7"/>
        <v>0</v>
      </c>
      <c r="N44" s="60">
        <f t="shared" si="8"/>
        <v>0</v>
      </c>
      <c r="O44" s="215">
        <f t="shared" si="9"/>
        <v>0</v>
      </c>
      <c r="R44"/>
      <c r="S44" s="41"/>
      <c r="T44" s="41"/>
    </row>
    <row r="45" spans="2:20" x14ac:dyDescent="0.2">
      <c r="B45" s="214">
        <f t="shared" si="10"/>
        <v>44470</v>
      </c>
      <c r="C45" s="109">
        <f t="shared" si="0"/>
        <v>0</v>
      </c>
      <c r="D45" s="60">
        <f t="shared" si="0"/>
        <v>0</v>
      </c>
      <c r="E45" s="215">
        <f t="shared" si="0"/>
        <v>0</v>
      </c>
      <c r="G45" s="404">
        <f t="shared" si="1"/>
        <v>0</v>
      </c>
      <c r="H45" s="60">
        <f t="shared" si="2"/>
        <v>0</v>
      </c>
      <c r="I45" s="376">
        <f t="shared" si="3"/>
        <v>0</v>
      </c>
      <c r="J45" s="404">
        <f t="shared" si="4"/>
        <v>0</v>
      </c>
      <c r="K45" s="60">
        <f t="shared" si="5"/>
        <v>0</v>
      </c>
      <c r="L45" s="376">
        <f t="shared" si="6"/>
        <v>0</v>
      </c>
      <c r="M45" s="404">
        <f t="shared" si="7"/>
        <v>0</v>
      </c>
      <c r="N45" s="60">
        <f t="shared" si="8"/>
        <v>0</v>
      </c>
      <c r="O45" s="215">
        <f t="shared" si="9"/>
        <v>0</v>
      </c>
      <c r="R45"/>
      <c r="S45" s="41"/>
      <c r="T45" s="41"/>
    </row>
    <row r="46" spans="2:20" x14ac:dyDescent="0.2">
      <c r="B46" s="214">
        <f t="shared" si="10"/>
        <v>44501</v>
      </c>
      <c r="C46" s="109">
        <f t="shared" si="0"/>
        <v>0</v>
      </c>
      <c r="D46" s="60">
        <f t="shared" si="0"/>
        <v>0</v>
      </c>
      <c r="E46" s="215">
        <f t="shared" si="0"/>
        <v>0</v>
      </c>
      <c r="G46" s="404">
        <f t="shared" si="1"/>
        <v>0</v>
      </c>
      <c r="H46" s="60">
        <f t="shared" si="2"/>
        <v>0</v>
      </c>
      <c r="I46" s="376">
        <f t="shared" si="3"/>
        <v>0</v>
      </c>
      <c r="J46" s="404">
        <f t="shared" si="4"/>
        <v>0</v>
      </c>
      <c r="K46" s="60">
        <f t="shared" si="5"/>
        <v>0</v>
      </c>
      <c r="L46" s="376">
        <f t="shared" si="6"/>
        <v>0</v>
      </c>
      <c r="M46" s="404">
        <f t="shared" si="7"/>
        <v>0</v>
      </c>
      <c r="N46" s="60">
        <f t="shared" si="8"/>
        <v>0</v>
      </c>
      <c r="O46" s="215">
        <f t="shared" si="9"/>
        <v>0</v>
      </c>
      <c r="R46"/>
      <c r="S46" s="41"/>
      <c r="T46" s="41"/>
    </row>
    <row r="47" spans="2:20" x14ac:dyDescent="0.2">
      <c r="B47" s="370">
        <f t="shared" si="10"/>
        <v>44531</v>
      </c>
      <c r="C47" s="665">
        <f t="shared" si="0"/>
        <v>0</v>
      </c>
      <c r="D47" s="352">
        <f t="shared" si="0"/>
        <v>0</v>
      </c>
      <c r="E47" s="371">
        <f t="shared" si="0"/>
        <v>0</v>
      </c>
      <c r="G47" s="405">
        <f t="shared" si="1"/>
        <v>0</v>
      </c>
      <c r="H47" s="352">
        <f t="shared" si="2"/>
        <v>0</v>
      </c>
      <c r="I47" s="377">
        <f t="shared" si="3"/>
        <v>0</v>
      </c>
      <c r="J47" s="405">
        <f t="shared" si="4"/>
        <v>0</v>
      </c>
      <c r="K47" s="352">
        <f t="shared" si="5"/>
        <v>0</v>
      </c>
      <c r="L47" s="377">
        <f t="shared" si="6"/>
        <v>0</v>
      </c>
      <c r="M47" s="405">
        <f t="shared" si="7"/>
        <v>0</v>
      </c>
      <c r="N47" s="352">
        <f t="shared" si="8"/>
        <v>0</v>
      </c>
      <c r="O47" s="371">
        <f t="shared" si="9"/>
        <v>0</v>
      </c>
      <c r="P47" s="34"/>
      <c r="Q47" s="34"/>
      <c r="R47" s="1"/>
      <c r="S47" s="1"/>
      <c r="T47" s="1"/>
    </row>
    <row r="48" spans="2:20" x14ac:dyDescent="0.2">
      <c r="B48" s="214">
        <f t="shared" si="10"/>
        <v>44562</v>
      </c>
      <c r="C48" s="109">
        <f t="shared" si="0"/>
        <v>0</v>
      </c>
      <c r="D48" s="60">
        <f t="shared" si="0"/>
        <v>0</v>
      </c>
      <c r="E48" s="215">
        <f t="shared" si="0"/>
        <v>0</v>
      </c>
      <c r="G48" s="404">
        <f t="shared" si="1"/>
        <v>0</v>
      </c>
      <c r="H48" s="60">
        <f t="shared" si="2"/>
        <v>0</v>
      </c>
      <c r="I48" s="376">
        <f t="shared" si="3"/>
        <v>0</v>
      </c>
      <c r="J48" s="404">
        <f t="shared" si="4"/>
        <v>0</v>
      </c>
      <c r="K48" s="60">
        <f t="shared" si="5"/>
        <v>0</v>
      </c>
      <c r="L48" s="376">
        <f t="shared" si="6"/>
        <v>0</v>
      </c>
      <c r="M48" s="404">
        <f t="shared" si="7"/>
        <v>0</v>
      </c>
      <c r="N48" s="60">
        <f t="shared" si="8"/>
        <v>0</v>
      </c>
      <c r="O48" s="215">
        <f t="shared" si="9"/>
        <v>0</v>
      </c>
      <c r="R48"/>
      <c r="S48" s="41"/>
      <c r="T48" s="41"/>
    </row>
    <row r="49" spans="2:36" x14ac:dyDescent="0.2">
      <c r="B49" s="214">
        <f t="shared" si="10"/>
        <v>44593</v>
      </c>
      <c r="C49" s="109">
        <f t="shared" si="0"/>
        <v>0</v>
      </c>
      <c r="D49" s="60">
        <f t="shared" si="0"/>
        <v>0</v>
      </c>
      <c r="E49" s="215">
        <f t="shared" si="0"/>
        <v>0</v>
      </c>
      <c r="G49" s="404">
        <f t="shared" si="1"/>
        <v>0</v>
      </c>
      <c r="H49" s="60">
        <f t="shared" si="2"/>
        <v>0</v>
      </c>
      <c r="I49" s="376">
        <f t="shared" si="3"/>
        <v>0</v>
      </c>
      <c r="J49" s="404">
        <f t="shared" si="4"/>
        <v>0</v>
      </c>
      <c r="K49" s="60">
        <f t="shared" si="5"/>
        <v>0</v>
      </c>
      <c r="L49" s="376">
        <f t="shared" si="6"/>
        <v>0</v>
      </c>
      <c r="M49" s="404">
        <f t="shared" si="7"/>
        <v>0</v>
      </c>
      <c r="N49" s="60">
        <f t="shared" si="8"/>
        <v>0</v>
      </c>
      <c r="O49" s="215">
        <f t="shared" si="9"/>
        <v>0</v>
      </c>
      <c r="R49"/>
      <c r="S49" s="41"/>
      <c r="T49" s="41"/>
    </row>
    <row r="50" spans="2:36" x14ac:dyDescent="0.2">
      <c r="B50" s="214">
        <f t="shared" si="10"/>
        <v>44621</v>
      </c>
      <c r="C50" s="109">
        <f t="shared" si="0"/>
        <v>0</v>
      </c>
      <c r="D50" s="60">
        <f t="shared" si="0"/>
        <v>0</v>
      </c>
      <c r="E50" s="215">
        <f t="shared" si="0"/>
        <v>0</v>
      </c>
      <c r="G50" s="404">
        <f t="shared" si="1"/>
        <v>0</v>
      </c>
      <c r="H50" s="60">
        <f t="shared" si="2"/>
        <v>0</v>
      </c>
      <c r="I50" s="376">
        <f t="shared" si="3"/>
        <v>0</v>
      </c>
      <c r="J50" s="404">
        <f t="shared" si="4"/>
        <v>0</v>
      </c>
      <c r="K50" s="60">
        <f t="shared" si="5"/>
        <v>0</v>
      </c>
      <c r="L50" s="376">
        <f t="shared" si="6"/>
        <v>0</v>
      </c>
      <c r="M50" s="404">
        <f t="shared" si="7"/>
        <v>0</v>
      </c>
      <c r="N50" s="60">
        <f t="shared" si="8"/>
        <v>0</v>
      </c>
      <c r="O50" s="215">
        <f t="shared" si="9"/>
        <v>0</v>
      </c>
      <c r="R50"/>
      <c r="S50" s="41"/>
      <c r="T50" s="41"/>
    </row>
    <row r="51" spans="2:36" x14ac:dyDescent="0.2">
      <c r="B51" s="214">
        <f t="shared" si="10"/>
        <v>44652</v>
      </c>
      <c r="C51" s="109">
        <f t="shared" si="0"/>
        <v>0</v>
      </c>
      <c r="D51" s="60">
        <f t="shared" si="0"/>
        <v>0</v>
      </c>
      <c r="E51" s="215">
        <f t="shared" si="0"/>
        <v>0</v>
      </c>
      <c r="G51" s="404">
        <f t="shared" si="1"/>
        <v>0</v>
      </c>
      <c r="H51" s="60">
        <f t="shared" si="2"/>
        <v>0</v>
      </c>
      <c r="I51" s="376">
        <f t="shared" si="3"/>
        <v>0</v>
      </c>
      <c r="J51" s="404">
        <f t="shared" si="4"/>
        <v>0</v>
      </c>
      <c r="K51" s="60">
        <f t="shared" si="5"/>
        <v>0</v>
      </c>
      <c r="L51" s="376">
        <f t="shared" si="6"/>
        <v>0</v>
      </c>
      <c r="M51" s="404">
        <f t="shared" si="7"/>
        <v>0</v>
      </c>
      <c r="N51" s="60">
        <f t="shared" si="8"/>
        <v>0</v>
      </c>
      <c r="O51" s="215">
        <f t="shared" si="9"/>
        <v>0</v>
      </c>
      <c r="R51"/>
      <c r="S51" s="41"/>
      <c r="T51" s="41"/>
    </row>
    <row r="52" spans="2:36" x14ac:dyDescent="0.2">
      <c r="B52" s="214">
        <f t="shared" si="10"/>
        <v>44682</v>
      </c>
      <c r="C52" s="109">
        <f t="shared" si="0"/>
        <v>0</v>
      </c>
      <c r="D52" s="60">
        <f t="shared" si="0"/>
        <v>0</v>
      </c>
      <c r="E52" s="215">
        <f t="shared" si="0"/>
        <v>0</v>
      </c>
      <c r="G52" s="404">
        <f t="shared" si="1"/>
        <v>0</v>
      </c>
      <c r="H52" s="60">
        <f t="shared" si="2"/>
        <v>0</v>
      </c>
      <c r="I52" s="376">
        <f t="shared" si="3"/>
        <v>0</v>
      </c>
      <c r="J52" s="404">
        <f t="shared" si="4"/>
        <v>0</v>
      </c>
      <c r="K52" s="60">
        <f t="shared" si="5"/>
        <v>0</v>
      </c>
      <c r="L52" s="376">
        <f t="shared" si="6"/>
        <v>0</v>
      </c>
      <c r="M52" s="404">
        <f t="shared" si="7"/>
        <v>0</v>
      </c>
      <c r="N52" s="60">
        <f t="shared" si="8"/>
        <v>0</v>
      </c>
      <c r="O52" s="215">
        <f t="shared" si="9"/>
        <v>0</v>
      </c>
      <c r="R52"/>
      <c r="S52" s="41"/>
      <c r="T52" s="41"/>
    </row>
    <row r="53" spans="2:36" x14ac:dyDescent="0.2">
      <c r="B53" s="214">
        <f t="shared" si="10"/>
        <v>44713</v>
      </c>
      <c r="C53" s="109">
        <f t="shared" si="0"/>
        <v>0</v>
      </c>
      <c r="D53" s="60">
        <f t="shared" si="0"/>
        <v>0</v>
      </c>
      <c r="E53" s="215">
        <f t="shared" si="0"/>
        <v>0</v>
      </c>
      <c r="G53" s="404">
        <f t="shared" si="1"/>
        <v>0</v>
      </c>
      <c r="H53" s="60">
        <f t="shared" si="2"/>
        <v>0</v>
      </c>
      <c r="I53" s="376">
        <f t="shared" si="3"/>
        <v>0</v>
      </c>
      <c r="J53" s="404">
        <f t="shared" si="4"/>
        <v>0</v>
      </c>
      <c r="K53" s="60">
        <f t="shared" si="5"/>
        <v>0</v>
      </c>
      <c r="L53" s="376">
        <f t="shared" si="6"/>
        <v>0</v>
      </c>
      <c r="M53" s="404">
        <f t="shared" si="7"/>
        <v>0</v>
      </c>
      <c r="N53" s="60">
        <f t="shared" si="8"/>
        <v>0</v>
      </c>
      <c r="O53" s="215">
        <f t="shared" si="9"/>
        <v>0</v>
      </c>
      <c r="R53"/>
      <c r="S53" s="41"/>
      <c r="T53" s="41"/>
    </row>
    <row r="54" spans="2:36" x14ac:dyDescent="0.2">
      <c r="B54" s="214">
        <f t="shared" si="10"/>
        <v>44743</v>
      </c>
      <c r="C54" s="109">
        <f t="shared" si="0"/>
        <v>0</v>
      </c>
      <c r="D54" s="60">
        <f t="shared" si="0"/>
        <v>0</v>
      </c>
      <c r="E54" s="215">
        <f t="shared" si="0"/>
        <v>0</v>
      </c>
      <c r="G54" s="404">
        <f t="shared" si="1"/>
        <v>0</v>
      </c>
      <c r="H54" s="60">
        <f t="shared" si="2"/>
        <v>0</v>
      </c>
      <c r="I54" s="376">
        <f t="shared" si="3"/>
        <v>0</v>
      </c>
      <c r="J54" s="404">
        <f t="shared" si="4"/>
        <v>0</v>
      </c>
      <c r="K54" s="60">
        <f t="shared" si="5"/>
        <v>0</v>
      </c>
      <c r="L54" s="376">
        <f t="shared" si="6"/>
        <v>0</v>
      </c>
      <c r="M54" s="404">
        <f t="shared" si="7"/>
        <v>0</v>
      </c>
      <c r="N54" s="60">
        <f t="shared" si="8"/>
        <v>0</v>
      </c>
      <c r="O54" s="215">
        <f t="shared" si="9"/>
        <v>0</v>
      </c>
      <c r="R54"/>
      <c r="S54" s="41"/>
      <c r="T54" s="41"/>
    </row>
    <row r="55" spans="2:36" x14ac:dyDescent="0.2">
      <c r="B55" s="214">
        <f t="shared" si="10"/>
        <v>44774</v>
      </c>
      <c r="C55" s="109">
        <f t="shared" si="0"/>
        <v>0</v>
      </c>
      <c r="D55" s="60">
        <f t="shared" si="0"/>
        <v>0</v>
      </c>
      <c r="E55" s="215">
        <f t="shared" si="0"/>
        <v>0</v>
      </c>
      <c r="G55" s="404">
        <f t="shared" si="1"/>
        <v>0</v>
      </c>
      <c r="H55" s="60">
        <f t="shared" si="2"/>
        <v>0</v>
      </c>
      <c r="I55" s="376">
        <f t="shared" si="3"/>
        <v>0</v>
      </c>
      <c r="J55" s="404">
        <f t="shared" si="4"/>
        <v>0</v>
      </c>
      <c r="K55" s="60">
        <f t="shared" si="5"/>
        <v>0</v>
      </c>
      <c r="L55" s="376">
        <f t="shared" si="6"/>
        <v>0</v>
      </c>
      <c r="M55" s="404">
        <f t="shared" si="7"/>
        <v>0</v>
      </c>
      <c r="N55" s="60">
        <f t="shared" si="8"/>
        <v>0</v>
      </c>
      <c r="O55" s="215">
        <f t="shared" si="9"/>
        <v>0</v>
      </c>
      <c r="R55"/>
      <c r="S55" s="41"/>
      <c r="T55" s="41"/>
    </row>
    <row r="56" spans="2:36" x14ac:dyDescent="0.2">
      <c r="B56" s="214">
        <f t="shared" si="10"/>
        <v>44805</v>
      </c>
      <c r="C56" s="109">
        <f t="shared" si="0"/>
        <v>0</v>
      </c>
      <c r="D56" s="60">
        <f t="shared" si="0"/>
        <v>0</v>
      </c>
      <c r="E56" s="215">
        <f t="shared" si="0"/>
        <v>0</v>
      </c>
      <c r="G56" s="404">
        <f t="shared" si="1"/>
        <v>0</v>
      </c>
      <c r="H56" s="60">
        <f t="shared" si="2"/>
        <v>0</v>
      </c>
      <c r="I56" s="376">
        <f t="shared" si="3"/>
        <v>0</v>
      </c>
      <c r="J56" s="404">
        <f t="shared" si="4"/>
        <v>0</v>
      </c>
      <c r="K56" s="60">
        <f t="shared" si="5"/>
        <v>0</v>
      </c>
      <c r="L56" s="376">
        <f t="shared" si="6"/>
        <v>0</v>
      </c>
      <c r="M56" s="404">
        <f t="shared" si="7"/>
        <v>0</v>
      </c>
      <c r="N56" s="60">
        <f t="shared" si="8"/>
        <v>0</v>
      </c>
      <c r="O56" s="215">
        <f t="shared" si="9"/>
        <v>0</v>
      </c>
      <c r="R56"/>
      <c r="S56" s="41"/>
      <c r="T56" s="41"/>
    </row>
    <row r="57" spans="2:36" x14ac:dyDescent="0.2">
      <c r="B57" s="214">
        <f t="shared" si="10"/>
        <v>44835</v>
      </c>
      <c r="C57" s="109">
        <f t="shared" si="0"/>
        <v>0</v>
      </c>
      <c r="D57" s="60">
        <f t="shared" si="0"/>
        <v>0</v>
      </c>
      <c r="E57" s="215">
        <f t="shared" si="0"/>
        <v>0</v>
      </c>
      <c r="G57" s="404">
        <f t="shared" si="1"/>
        <v>0</v>
      </c>
      <c r="H57" s="60">
        <f t="shared" si="2"/>
        <v>0</v>
      </c>
      <c r="I57" s="376">
        <f t="shared" si="3"/>
        <v>0</v>
      </c>
      <c r="J57" s="404">
        <f t="shared" si="4"/>
        <v>0</v>
      </c>
      <c r="K57" s="60">
        <f t="shared" si="5"/>
        <v>0</v>
      </c>
      <c r="L57" s="376">
        <f t="shared" si="6"/>
        <v>0</v>
      </c>
      <c r="M57" s="404">
        <f t="shared" si="7"/>
        <v>0</v>
      </c>
      <c r="N57" s="60">
        <f t="shared" si="8"/>
        <v>0</v>
      </c>
      <c r="O57" s="215">
        <f t="shared" si="9"/>
        <v>0</v>
      </c>
      <c r="R57"/>
      <c r="S57" s="41"/>
      <c r="T57" s="41"/>
    </row>
    <row r="58" spans="2:36" x14ac:dyDescent="0.2">
      <c r="B58" s="214">
        <f t="shared" si="10"/>
        <v>44866</v>
      </c>
      <c r="C58" s="109">
        <f t="shared" si="0"/>
        <v>0</v>
      </c>
      <c r="D58" s="60">
        <f t="shared" si="0"/>
        <v>0</v>
      </c>
      <c r="E58" s="215">
        <f t="shared" si="0"/>
        <v>0</v>
      </c>
      <c r="G58" s="404">
        <f t="shared" si="1"/>
        <v>0</v>
      </c>
      <c r="H58" s="60">
        <f t="shared" si="2"/>
        <v>0</v>
      </c>
      <c r="I58" s="376">
        <f t="shared" si="3"/>
        <v>0</v>
      </c>
      <c r="J58" s="404">
        <f t="shared" si="4"/>
        <v>0</v>
      </c>
      <c r="K58" s="60">
        <f t="shared" si="5"/>
        <v>0</v>
      </c>
      <c r="L58" s="376">
        <f t="shared" si="6"/>
        <v>0</v>
      </c>
      <c r="M58" s="404">
        <f t="shared" si="7"/>
        <v>0</v>
      </c>
      <c r="N58" s="60">
        <f t="shared" si="8"/>
        <v>0</v>
      </c>
      <c r="O58" s="215">
        <f t="shared" si="9"/>
        <v>0</v>
      </c>
      <c r="R58"/>
      <c r="S58" s="41"/>
      <c r="T58" s="41"/>
    </row>
    <row r="59" spans="2:36" ht="13.5" thickBot="1" x14ac:dyDescent="0.25">
      <c r="B59" s="372">
        <f t="shared" si="10"/>
        <v>44896</v>
      </c>
      <c r="C59" s="666">
        <f t="shared" si="0"/>
        <v>0</v>
      </c>
      <c r="D59" s="373">
        <f t="shared" si="0"/>
        <v>0</v>
      </c>
      <c r="E59" s="374">
        <f t="shared" si="0"/>
        <v>0</v>
      </c>
      <c r="G59" s="406">
        <f t="shared" si="1"/>
        <v>0</v>
      </c>
      <c r="H59" s="373">
        <f t="shared" si="2"/>
        <v>0</v>
      </c>
      <c r="I59" s="378">
        <f t="shared" si="3"/>
        <v>0</v>
      </c>
      <c r="J59" s="406">
        <f t="shared" si="4"/>
        <v>0</v>
      </c>
      <c r="K59" s="373">
        <f t="shared" si="5"/>
        <v>0</v>
      </c>
      <c r="L59" s="378">
        <f t="shared" si="6"/>
        <v>0</v>
      </c>
      <c r="M59" s="406">
        <f t="shared" si="7"/>
        <v>0</v>
      </c>
      <c r="N59" s="373">
        <f t="shared" si="8"/>
        <v>0</v>
      </c>
      <c r="O59" s="374">
        <f t="shared" si="9"/>
        <v>0</v>
      </c>
      <c r="P59" s="34"/>
      <c r="Q59" s="34"/>
      <c r="R59" s="1"/>
      <c r="S59" s="1"/>
      <c r="T59" s="1"/>
    </row>
    <row r="60" spans="2:36" x14ac:dyDescent="0.2">
      <c r="B60" s="63"/>
      <c r="C60"/>
      <c r="O60" s="29"/>
      <c r="R60"/>
      <c r="S60" s="41"/>
      <c r="T60" s="41"/>
      <c r="U60" s="41"/>
      <c r="V60" s="41"/>
      <c r="W60" s="41"/>
    </row>
    <row r="62" spans="2:36" x14ac:dyDescent="0.2">
      <c r="K62" s="41"/>
      <c r="L62" s="41"/>
      <c r="M62" s="41"/>
      <c r="N62" s="42"/>
      <c r="O62" s="41"/>
      <c r="P62" s="41"/>
      <c r="Q62" s="41"/>
      <c r="R62" s="41"/>
      <c r="T62" s="41"/>
      <c r="U62" s="41"/>
      <c r="V62" s="41"/>
      <c r="W62" s="42"/>
      <c r="X62" s="41"/>
      <c r="Y62" s="41"/>
      <c r="Z62" s="41"/>
      <c r="AA62" s="41"/>
      <c r="AC62" s="41"/>
      <c r="AD62" s="41"/>
      <c r="AE62" s="41"/>
      <c r="AF62" s="42"/>
      <c r="AG62" s="41"/>
      <c r="AH62" s="41"/>
      <c r="AI62" s="41"/>
      <c r="AJ62" s="41"/>
    </row>
    <row r="63" spans="2:36" ht="18" x14ac:dyDescent="0.25">
      <c r="C63" s="28"/>
      <c r="D63" s="28"/>
      <c r="E63" s="28"/>
      <c r="F63" s="28"/>
      <c r="G63" s="28"/>
      <c r="H63" s="28"/>
      <c r="I63" s="28"/>
      <c r="L63" s="28"/>
      <c r="M63" s="28"/>
      <c r="N63" s="28"/>
      <c r="O63" s="28"/>
      <c r="P63" s="28"/>
      <c r="Q63" s="28"/>
      <c r="R63" s="28"/>
      <c r="U63" s="28"/>
      <c r="V63" s="28"/>
      <c r="W63" s="28"/>
      <c r="X63" s="28"/>
      <c r="Y63" s="28"/>
      <c r="Z63" s="28"/>
      <c r="AA63" s="28"/>
      <c r="AC63" s="41"/>
      <c r="AD63" s="41"/>
      <c r="AE63" s="41"/>
      <c r="AF63" s="41"/>
      <c r="AG63" s="41"/>
      <c r="AH63" s="44"/>
      <c r="AI63" s="44"/>
      <c r="AJ63" s="44"/>
    </row>
    <row r="64" spans="2:36" ht="18" x14ac:dyDescent="0.25">
      <c r="B64" s="138" t="s">
        <v>621</v>
      </c>
      <c r="D64" s="28"/>
      <c r="E64" s="28"/>
      <c r="F64" s="28"/>
      <c r="G64" s="28"/>
      <c r="H64" s="28"/>
      <c r="I64" s="28"/>
      <c r="L64" s="2"/>
      <c r="M64" s="28"/>
      <c r="N64" s="28"/>
      <c r="O64" s="28"/>
      <c r="P64" s="28"/>
      <c r="Q64" s="28"/>
      <c r="R64" s="28"/>
      <c r="U64" s="2"/>
      <c r="V64" s="28"/>
      <c r="W64" s="28"/>
      <c r="X64" s="28"/>
      <c r="Y64" s="28"/>
      <c r="Z64" s="28"/>
      <c r="AA64" s="28"/>
      <c r="AC64" s="41"/>
      <c r="AD64" s="41"/>
      <c r="AE64" s="41"/>
      <c r="AF64" s="41"/>
      <c r="AG64" s="41"/>
      <c r="AH64" s="44"/>
      <c r="AI64" s="44"/>
      <c r="AJ64" s="44"/>
    </row>
    <row r="65" spans="2:36" ht="18" x14ac:dyDescent="0.25">
      <c r="C65" s="2"/>
      <c r="D65" s="28"/>
      <c r="E65" s="28"/>
      <c r="F65" s="28"/>
      <c r="H65" s="28"/>
      <c r="I65" s="28"/>
      <c r="L65" s="2"/>
      <c r="M65" s="28"/>
      <c r="N65" s="28"/>
      <c r="O65" s="28"/>
      <c r="P65" s="28"/>
      <c r="Q65" s="28"/>
      <c r="R65" s="28"/>
      <c r="U65" s="2"/>
      <c r="V65" s="28"/>
      <c r="W65" s="28"/>
      <c r="X65" s="28"/>
      <c r="Y65" s="28"/>
      <c r="Z65" s="28"/>
      <c r="AA65" s="28"/>
      <c r="AC65" s="41"/>
      <c r="AD65" s="41"/>
      <c r="AE65" s="41"/>
      <c r="AF65" s="41"/>
      <c r="AG65" s="41"/>
      <c r="AH65" s="44"/>
      <c r="AI65" s="44"/>
      <c r="AJ65" s="44"/>
    </row>
    <row r="66" spans="2:36" ht="18.75" thickBot="1" x14ac:dyDescent="0.3">
      <c r="B66" s="1" t="str">
        <f>'Entrada Inver_Finan'!C109</f>
        <v>Préstamo de...( Entidad financiera A)</v>
      </c>
      <c r="C66"/>
      <c r="G66" s="29"/>
      <c r="H66" s="28"/>
      <c r="I66" s="29"/>
      <c r="K66" s="2" t="str">
        <f>'Entrada Inver_Finan'!C110</f>
        <v>Préstamo de...( Entidad financiera B)</v>
      </c>
      <c r="T66" s="62">
        <f>'Entrada Inver_Finan'!C111</f>
        <v>0</v>
      </c>
      <c r="AC66" s="41"/>
      <c r="AD66" s="41"/>
      <c r="AE66" s="41"/>
      <c r="AF66" s="41"/>
      <c r="AG66" s="41"/>
      <c r="AH66" s="44"/>
      <c r="AI66" s="44"/>
      <c r="AJ66" s="44"/>
    </row>
    <row r="67" spans="2:36" x14ac:dyDescent="0.2">
      <c r="B67" s="388" t="s">
        <v>622</v>
      </c>
      <c r="C67" s="389"/>
      <c r="D67" s="390"/>
      <c r="G67" s="29"/>
      <c r="H67" s="29"/>
      <c r="I67" s="29"/>
      <c r="K67" s="388" t="s">
        <v>622</v>
      </c>
      <c r="L67" s="389"/>
      <c r="M67" s="390"/>
      <c r="T67" s="388" t="s">
        <v>622</v>
      </c>
      <c r="U67" s="389"/>
      <c r="V67" s="390"/>
      <c r="AC67" s="41"/>
      <c r="AD67" s="41"/>
      <c r="AE67" s="41"/>
      <c r="AF67" s="41"/>
      <c r="AG67" s="41"/>
      <c r="AH67" s="44"/>
      <c r="AI67" s="44"/>
      <c r="AJ67" s="44"/>
    </row>
    <row r="68" spans="2:36" x14ac:dyDescent="0.2">
      <c r="B68" s="30" t="s">
        <v>624</v>
      </c>
      <c r="C68"/>
      <c r="D68" s="33">
        <f>'Entrada Inver_Finan'!D126</f>
        <v>0</v>
      </c>
      <c r="G68" s="29"/>
      <c r="H68" s="29"/>
      <c r="I68" s="29"/>
      <c r="K68" s="30" t="s">
        <v>624</v>
      </c>
      <c r="M68" s="33">
        <f>'Entrada Inver_Finan'!D127</f>
        <v>0</v>
      </c>
      <c r="T68" s="30" t="s">
        <v>624</v>
      </c>
      <c r="V68" s="33">
        <f>'Entrada Inver_Finan'!D128</f>
        <v>0</v>
      </c>
      <c r="AC68" s="41"/>
      <c r="AD68" s="41"/>
      <c r="AE68" s="41"/>
      <c r="AF68" s="41"/>
      <c r="AG68" s="41"/>
      <c r="AH68" s="44"/>
      <c r="AI68" s="44"/>
      <c r="AJ68" s="44"/>
    </row>
    <row r="69" spans="2:36" x14ac:dyDescent="0.2">
      <c r="B69" s="30" t="s">
        <v>239</v>
      </c>
      <c r="C69"/>
      <c r="D69" s="51">
        <f>DATE(YEAR('Entrada Inver_Finan'!H126),MONTH('Entrada Inver_Finan'!H126),DAY(1))</f>
        <v>43831</v>
      </c>
      <c r="G69" s="29"/>
      <c r="H69" s="29"/>
      <c r="I69" s="29"/>
      <c r="K69" s="30" t="s">
        <v>239</v>
      </c>
      <c r="M69" s="51">
        <f>DATE(YEAR('Entrada Inver_Finan'!H127),MONTH('Entrada Inver_Finan'!H127),DAY(1))</f>
        <v>43831</v>
      </c>
      <c r="T69" s="30" t="s">
        <v>239</v>
      </c>
      <c r="V69" s="51">
        <f>DATE(YEAR('Entrada Inver_Finan'!H128),MONTH('Entrada Inver_Finan'!H128),DAY(1))</f>
        <v>1</v>
      </c>
      <c r="AC69" s="41"/>
      <c r="AD69" s="41"/>
      <c r="AE69" s="41"/>
      <c r="AF69" s="41"/>
      <c r="AG69" s="41"/>
      <c r="AH69" s="44"/>
      <c r="AI69" s="44"/>
      <c r="AJ69" s="44"/>
    </row>
    <row r="70" spans="2:36" x14ac:dyDescent="0.2">
      <c r="B70" s="30" t="s">
        <v>626</v>
      </c>
      <c r="C70"/>
      <c r="D70" s="33">
        <f>'Entrada Inver_Finan'!G126</f>
        <v>5</v>
      </c>
      <c r="G70" s="29"/>
      <c r="H70" s="29"/>
      <c r="I70" s="29"/>
      <c r="K70" s="30" t="s">
        <v>626</v>
      </c>
      <c r="M70" s="33">
        <f>'Entrada Inver_Finan'!G127</f>
        <v>5</v>
      </c>
      <c r="T70" s="30" t="s">
        <v>626</v>
      </c>
      <c r="V70" s="33">
        <f>'Entrada Inver_Finan'!G128</f>
        <v>5</v>
      </c>
      <c r="AC70" s="41"/>
      <c r="AD70" s="41"/>
      <c r="AE70" s="41"/>
      <c r="AF70" s="41"/>
      <c r="AG70" s="41"/>
      <c r="AH70" s="44"/>
      <c r="AI70" s="44"/>
      <c r="AJ70" s="44"/>
    </row>
    <row r="71" spans="2:36" x14ac:dyDescent="0.2">
      <c r="B71" s="30" t="s">
        <v>627</v>
      </c>
      <c r="C71"/>
      <c r="D71" s="50">
        <f>'Entrada Inver_Finan'!E126/12</f>
        <v>0</v>
      </c>
      <c r="G71" s="34"/>
      <c r="H71" s="34"/>
      <c r="I71" s="34"/>
      <c r="K71" s="30" t="s">
        <v>627</v>
      </c>
      <c r="M71" s="50">
        <f>'Entrada Inver_Finan'!E127/12</f>
        <v>0</v>
      </c>
      <c r="P71" s="34"/>
      <c r="Q71" s="34"/>
      <c r="R71" s="34"/>
      <c r="T71" s="30" t="s">
        <v>627</v>
      </c>
      <c r="V71" s="50">
        <f>'Entrada Inver_Finan'!E128/12</f>
        <v>0</v>
      </c>
      <c r="Y71" s="34"/>
      <c r="Z71" s="34"/>
      <c r="AA71" s="34"/>
      <c r="AC71" s="41"/>
      <c r="AD71" s="41"/>
      <c r="AE71" s="41"/>
      <c r="AF71" s="41"/>
      <c r="AG71" s="41"/>
      <c r="AH71" s="44"/>
      <c r="AI71" s="44"/>
      <c r="AJ71" s="44"/>
    </row>
    <row r="72" spans="2:36" x14ac:dyDescent="0.2">
      <c r="B72" s="30" t="s">
        <v>628</v>
      </c>
      <c r="C72"/>
      <c r="D72" s="50">
        <f>IF(E72="Anuales",1,IF(E72="Semestrales",2,IF(E72="Cuatrimestrales",3,IF(E72="Trimestrales",4,IF(E72="Bimensuales",6,IF(E72="Mensuales",12,0))))))</f>
        <v>12</v>
      </c>
      <c r="E72" t="str">
        <f>'Entrada Inver_Finan'!F126</f>
        <v>Mensuales</v>
      </c>
      <c r="G72" s="58"/>
      <c r="H72" s="29"/>
      <c r="I72" s="29"/>
      <c r="K72" s="30" t="s">
        <v>628</v>
      </c>
      <c r="M72" s="50">
        <f>IF(N72="Anuales",1,IF(N72="Semestrales",2,IF(N72="Cuatrimestrales",3,IF(N72="Trimestrales",4,IF(N72="Bimensuales",6,IF(N72="Mensuales",12,0))))))</f>
        <v>12</v>
      </c>
      <c r="N72" t="str">
        <f>'Entrada Inver_Finan'!F127</f>
        <v>Mensuales</v>
      </c>
      <c r="T72" s="30" t="s">
        <v>628</v>
      </c>
      <c r="V72" s="50">
        <f>IF(W72="Anuales",1,IF(W72="Semestrales",2,IF(W72="Cuatrimestrales",3,IF(W72="Trimestrales",4,IF(W72="Bimensuales",6,IF(W72="Mensuales",12,0))))))</f>
        <v>0</v>
      </c>
      <c r="W72">
        <f>'Entrada Inver_Finan'!F128</f>
        <v>0</v>
      </c>
      <c r="AC72" s="41"/>
      <c r="AD72" s="41"/>
      <c r="AE72" s="41"/>
      <c r="AF72" s="41"/>
      <c r="AG72" s="41"/>
      <c r="AH72" s="44"/>
      <c r="AI72" s="44"/>
      <c r="AJ72" s="44"/>
    </row>
    <row r="73" spans="2:36" x14ac:dyDescent="0.2">
      <c r="B73" s="30" t="s">
        <v>630</v>
      </c>
      <c r="C73"/>
      <c r="D73" s="51">
        <f>DATE(YEAR('Entrada Inver_Finan'!I126),MONTH('Entrada Inver_Finan'!I126),DAY(1))</f>
        <v>43831</v>
      </c>
      <c r="E73" s="110"/>
      <c r="G73" s="29"/>
      <c r="H73" s="29"/>
      <c r="I73" s="29"/>
      <c r="K73" s="30" t="s">
        <v>630</v>
      </c>
      <c r="M73" s="51">
        <f>DATE(YEAR('Entrada Inver_Finan'!I127),MONTH('Entrada Inver_Finan'!I127),DAY(1))</f>
        <v>43831</v>
      </c>
      <c r="T73" s="30" t="s">
        <v>630</v>
      </c>
      <c r="V73" s="51">
        <f>DATE(YEAR('Entrada Inver_Finan'!I128),MONTH('Entrada Inver_Finan'!I128),DAY(1))</f>
        <v>1</v>
      </c>
      <c r="AC73" s="41"/>
      <c r="AD73" s="41"/>
      <c r="AE73" s="41"/>
      <c r="AF73" s="41"/>
      <c r="AG73" s="41"/>
      <c r="AH73" s="44"/>
      <c r="AI73" s="44"/>
      <c r="AJ73" s="44"/>
    </row>
    <row r="74" spans="2:36" x14ac:dyDescent="0.2">
      <c r="B74" s="30" t="s">
        <v>631</v>
      </c>
      <c r="C74"/>
      <c r="D74" s="50">
        <f>D71*D72</f>
        <v>0</v>
      </c>
      <c r="G74" s="29"/>
      <c r="H74" s="29"/>
      <c r="I74" s="29"/>
      <c r="K74" s="30" t="s">
        <v>631</v>
      </c>
      <c r="M74" s="50">
        <f>M71*M72</f>
        <v>0</v>
      </c>
      <c r="T74" s="30" t="s">
        <v>631</v>
      </c>
      <c r="V74" s="50">
        <f>V71*V72</f>
        <v>0</v>
      </c>
      <c r="AC74" s="41"/>
      <c r="AD74" s="41"/>
      <c r="AE74" s="41"/>
      <c r="AF74" s="41"/>
      <c r="AG74" s="41"/>
      <c r="AH74" s="44"/>
      <c r="AI74" s="44"/>
      <c r="AJ74" s="44"/>
    </row>
    <row r="75" spans="2:36" ht="12.75" customHeight="1" x14ac:dyDescent="0.2">
      <c r="B75" s="1404" t="s">
        <v>632</v>
      </c>
      <c r="C75" s="1405"/>
      <c r="D75" s="1240">
        <f>D70/1200</f>
        <v>4.1666666666666666E-3</v>
      </c>
      <c r="G75" s="29"/>
      <c r="H75" s="29"/>
      <c r="I75" s="29"/>
      <c r="K75" s="1404" t="s">
        <v>632</v>
      </c>
      <c r="L75" s="1405"/>
      <c r="M75" s="1240">
        <f>M70/1200</f>
        <v>4.1666666666666666E-3</v>
      </c>
      <c r="T75" s="1404" t="s">
        <v>632</v>
      </c>
      <c r="U75" s="1405"/>
      <c r="V75" s="1240">
        <f>V70/1200</f>
        <v>4.1666666666666666E-3</v>
      </c>
      <c r="AC75" s="41"/>
      <c r="AD75" s="41"/>
      <c r="AE75" s="41"/>
      <c r="AF75" s="41"/>
      <c r="AG75" s="41"/>
      <c r="AH75" s="44"/>
      <c r="AI75" s="44"/>
      <c r="AJ75" s="44"/>
    </row>
    <row r="76" spans="2:36" x14ac:dyDescent="0.2">
      <c r="B76" s="1404"/>
      <c r="C76" s="1405"/>
      <c r="D76" s="1240"/>
      <c r="G76" s="29"/>
      <c r="H76" s="29"/>
      <c r="I76" s="29"/>
      <c r="K76" s="1404"/>
      <c r="L76" s="1405"/>
      <c r="M76" s="1240"/>
      <c r="T76" s="1404"/>
      <c r="U76" s="1405"/>
      <c r="V76" s="1240"/>
      <c r="AC76" s="41"/>
      <c r="AD76" s="41"/>
      <c r="AE76" s="41"/>
      <c r="AF76" s="41"/>
      <c r="AG76" s="41"/>
      <c r="AH76" s="44"/>
      <c r="AI76" s="44"/>
      <c r="AJ76" s="44"/>
    </row>
    <row r="77" spans="2:36" x14ac:dyDescent="0.2">
      <c r="B77" s="30" t="s">
        <v>634</v>
      </c>
      <c r="C77"/>
      <c r="D77" s="33">
        <f>IF(D68=0,0,(1-(1+D75)^-D74)/D75)</f>
        <v>0</v>
      </c>
      <c r="G77" s="29"/>
      <c r="H77" s="29"/>
      <c r="I77" s="29"/>
      <c r="K77" s="30" t="s">
        <v>634</v>
      </c>
      <c r="M77" s="33">
        <f>IF(M68=0,0,(1-(1+M75)^-M74)/M75)</f>
        <v>0</v>
      </c>
      <c r="T77" s="30" t="s">
        <v>634</v>
      </c>
      <c r="V77" s="33">
        <f>IF(V68=0,0,(1-(1+V75)^-V74)/V75+IF(V68=0,0))</f>
        <v>0</v>
      </c>
      <c r="AC77" s="41"/>
      <c r="AD77" s="41"/>
      <c r="AE77" s="41"/>
      <c r="AF77" s="41"/>
      <c r="AG77" s="41"/>
      <c r="AH77" s="44"/>
      <c r="AI77" s="44"/>
      <c r="AJ77" s="44"/>
    </row>
    <row r="78" spans="2:36" x14ac:dyDescent="0.2">
      <c r="B78" s="409" t="s">
        <v>635</v>
      </c>
      <c r="C78" s="297"/>
      <c r="D78" s="410">
        <f>IF(D68=0,0,D68/D77)</f>
        <v>0</v>
      </c>
      <c r="G78" s="29"/>
      <c r="H78" s="29"/>
      <c r="I78" s="29"/>
      <c r="K78" s="409" t="s">
        <v>635</v>
      </c>
      <c r="L78" s="297"/>
      <c r="M78" s="410">
        <f>IF(M68=0,0,M68/M77)</f>
        <v>0</v>
      </c>
      <c r="T78" s="409" t="s">
        <v>635</v>
      </c>
      <c r="U78" s="297"/>
      <c r="V78" s="410">
        <f>IF(V68=0,0,V68/V77)</f>
        <v>0</v>
      </c>
      <c r="AC78" s="41"/>
      <c r="AD78" s="41"/>
      <c r="AE78" s="41"/>
      <c r="AF78" s="41"/>
      <c r="AG78" s="41"/>
      <c r="AH78" s="44"/>
      <c r="AI78" s="44"/>
      <c r="AJ78" s="44"/>
    </row>
    <row r="79" spans="2:36" x14ac:dyDescent="0.2">
      <c r="B79" s="30" t="s">
        <v>638</v>
      </c>
      <c r="C79"/>
      <c r="D79" s="33">
        <f>(D68*D70*1)/1200</f>
        <v>0</v>
      </c>
      <c r="G79" s="29"/>
      <c r="H79" s="29"/>
      <c r="I79" s="29"/>
      <c r="K79" s="30" t="s">
        <v>638</v>
      </c>
      <c r="M79" s="33">
        <f>(M68*M70*1)/1200</f>
        <v>0</v>
      </c>
      <c r="T79" s="30" t="s">
        <v>638</v>
      </c>
      <c r="V79" s="33">
        <f>(V68*V70*1)/1200</f>
        <v>0</v>
      </c>
      <c r="AC79" s="41"/>
      <c r="AD79" s="41"/>
      <c r="AE79" s="41"/>
      <c r="AF79" s="41"/>
      <c r="AG79" s="41"/>
      <c r="AH79" s="44"/>
      <c r="AI79" s="44"/>
      <c r="AJ79" s="44"/>
    </row>
    <row r="80" spans="2:36" ht="13.5" thickBot="1" x14ac:dyDescent="0.25">
      <c r="B80" s="31" t="s">
        <v>639</v>
      </c>
      <c r="C80" s="224"/>
      <c r="D80" s="52">
        <f>D78-D79</f>
        <v>0</v>
      </c>
      <c r="G80" s="29"/>
      <c r="H80" s="29"/>
      <c r="I80" s="29"/>
      <c r="K80" s="31" t="s">
        <v>639</v>
      </c>
      <c r="L80" s="224"/>
      <c r="M80" s="52">
        <f>M78-M79</f>
        <v>0</v>
      </c>
      <c r="T80" s="31" t="s">
        <v>639</v>
      </c>
      <c r="U80" s="224"/>
      <c r="V80" s="52">
        <f>V78-V79</f>
        <v>0</v>
      </c>
      <c r="AC80" s="41"/>
      <c r="AD80" s="41"/>
      <c r="AE80" s="41"/>
      <c r="AF80" s="41"/>
      <c r="AG80" s="41"/>
      <c r="AH80" s="44"/>
      <c r="AI80" s="44"/>
      <c r="AJ80" s="44"/>
    </row>
    <row r="81" spans="2:36" ht="13.5" thickBot="1" x14ac:dyDescent="0.25">
      <c r="C81"/>
      <c r="G81" s="29"/>
      <c r="H81" s="29"/>
      <c r="I81" s="29"/>
      <c r="AC81" s="41"/>
      <c r="AD81" s="41"/>
      <c r="AE81" s="41"/>
      <c r="AF81" s="41"/>
      <c r="AG81" s="41"/>
      <c r="AH81" s="44"/>
      <c r="AI81" s="44"/>
      <c r="AJ81" s="44"/>
    </row>
    <row r="82" spans="2:36" s="400" customFormat="1" thickTop="1" x14ac:dyDescent="0.2">
      <c r="B82" s="1391" t="s">
        <v>641</v>
      </c>
      <c r="C82" s="1391" t="s">
        <v>642</v>
      </c>
      <c r="D82" s="1391" t="s">
        <v>643</v>
      </c>
      <c r="E82" s="1391" t="s">
        <v>591</v>
      </c>
      <c r="F82" s="1391" t="s">
        <v>644</v>
      </c>
      <c r="G82" s="1391" t="s">
        <v>645</v>
      </c>
      <c r="H82" s="1400" t="s">
        <v>646</v>
      </c>
      <c r="I82" s="1394" t="s">
        <v>653</v>
      </c>
      <c r="K82" s="1391" t="s">
        <v>641</v>
      </c>
      <c r="L82" s="1391" t="s">
        <v>642</v>
      </c>
      <c r="M82" s="1391" t="s">
        <v>643</v>
      </c>
      <c r="N82" s="1391" t="s">
        <v>591</v>
      </c>
      <c r="O82" s="1391" t="s">
        <v>644</v>
      </c>
      <c r="P82" s="1391" t="s">
        <v>645</v>
      </c>
      <c r="Q82" s="1400" t="s">
        <v>646</v>
      </c>
      <c r="R82" s="1394" t="s">
        <v>653</v>
      </c>
      <c r="T82" s="1391" t="s">
        <v>641</v>
      </c>
      <c r="U82" s="1391" t="s">
        <v>642</v>
      </c>
      <c r="V82" s="1391" t="s">
        <v>643</v>
      </c>
      <c r="W82" s="1391" t="s">
        <v>591</v>
      </c>
      <c r="X82" s="1391" t="s">
        <v>644</v>
      </c>
      <c r="Y82" s="1391" t="s">
        <v>645</v>
      </c>
      <c r="Z82" s="1400" t="s">
        <v>646</v>
      </c>
      <c r="AA82" s="1394" t="s">
        <v>653</v>
      </c>
      <c r="AH82" s="411"/>
      <c r="AI82" s="411"/>
      <c r="AJ82" s="411"/>
    </row>
    <row r="83" spans="2:36" s="400" customFormat="1" ht="12" x14ac:dyDescent="0.2">
      <c r="B83" s="1392"/>
      <c r="C83" s="1392"/>
      <c r="D83" s="1392"/>
      <c r="E83" s="1392"/>
      <c r="F83" s="1392"/>
      <c r="G83" s="1392"/>
      <c r="H83" s="1401"/>
      <c r="I83" s="1395"/>
      <c r="K83" s="1392"/>
      <c r="L83" s="1392"/>
      <c r="M83" s="1392"/>
      <c r="N83" s="1392"/>
      <c r="O83" s="1392"/>
      <c r="P83" s="1392"/>
      <c r="Q83" s="1401"/>
      <c r="R83" s="1395"/>
      <c r="T83" s="1392"/>
      <c r="U83" s="1392"/>
      <c r="V83" s="1392"/>
      <c r="W83" s="1392"/>
      <c r="X83" s="1392"/>
      <c r="Y83" s="1392"/>
      <c r="Z83" s="1401"/>
      <c r="AA83" s="1395"/>
      <c r="AH83" s="411"/>
      <c r="AI83" s="411"/>
      <c r="AJ83" s="411"/>
    </row>
    <row r="84" spans="2:36" s="400" customFormat="1" thickBot="1" x14ac:dyDescent="0.25">
      <c r="B84" s="1393"/>
      <c r="C84" s="1393"/>
      <c r="D84" s="1393"/>
      <c r="E84" s="1393"/>
      <c r="F84" s="1393"/>
      <c r="G84" s="1393"/>
      <c r="H84" s="1402"/>
      <c r="I84" s="1396"/>
      <c r="K84" s="1393"/>
      <c r="L84" s="1393"/>
      <c r="M84" s="1393"/>
      <c r="N84" s="1393"/>
      <c r="O84" s="1393"/>
      <c r="P84" s="1393"/>
      <c r="Q84" s="1402"/>
      <c r="R84" s="1396"/>
      <c r="T84" s="1393"/>
      <c r="U84" s="1393"/>
      <c r="V84" s="1393"/>
      <c r="W84" s="1393"/>
      <c r="X84" s="1393"/>
      <c r="Y84" s="1393"/>
      <c r="Z84" s="1402"/>
      <c r="AA84" s="1396"/>
      <c r="AH84" s="411"/>
      <c r="AI84" s="411"/>
      <c r="AJ84" s="411"/>
    </row>
    <row r="85" spans="2:36" ht="13.5" thickTop="1" x14ac:dyDescent="0.2">
      <c r="B85" s="64">
        <v>1</v>
      </c>
      <c r="C85" s="46">
        <f>D73</f>
        <v>43831</v>
      </c>
      <c r="D85" s="47">
        <f t="shared" ref="D85:D96" si="11">IF(B85=1,$D$68,G84)</f>
        <v>0</v>
      </c>
      <c r="E85" s="47">
        <f t="shared" ref="E85:E96" si="12">(D85*$D$70*1)/1200</f>
        <v>0</v>
      </c>
      <c r="F85" s="48">
        <f t="shared" ref="F85:F96" si="13">IF(AND(B85&lt;=$D$74,B85&lt;&gt;0),$D$78-E85,0)</f>
        <v>0</v>
      </c>
      <c r="G85" s="47">
        <f>D85-F85</f>
        <v>0</v>
      </c>
      <c r="H85" s="47">
        <f t="shared" ref="H85:H96" si="14">IF(B85&lt;=$D$74,E85+H84,0)</f>
        <v>0</v>
      </c>
      <c r="I85" s="49">
        <f t="shared" ref="I85:I96" si="15">IF(B85&lt;=$D$74,F85+I84,0)</f>
        <v>0</v>
      </c>
      <c r="K85" s="45">
        <v>1</v>
      </c>
      <c r="L85" s="46">
        <f>M73</f>
        <v>43831</v>
      </c>
      <c r="M85" s="47">
        <f>M68</f>
        <v>0</v>
      </c>
      <c r="N85" s="47">
        <f t="shared" ref="N85:N96" si="16">(M85*$M$70*1)/1200</f>
        <v>0</v>
      </c>
      <c r="O85" s="48">
        <f>$M$78-N85</f>
        <v>0</v>
      </c>
      <c r="P85" s="47">
        <f>M85-O85</f>
        <v>0</v>
      </c>
      <c r="Q85" s="47">
        <f>N85</f>
        <v>0</v>
      </c>
      <c r="R85" s="49">
        <f>O85</f>
        <v>0</v>
      </c>
      <c r="T85" s="45">
        <v>1</v>
      </c>
      <c r="U85" s="46">
        <f>V73</f>
        <v>1</v>
      </c>
      <c r="V85" s="47">
        <f>V68</f>
        <v>0</v>
      </c>
      <c r="W85" s="47">
        <f t="shared" ref="W85:W96" si="17">(V85*$V$70*1)/1200</f>
        <v>0</v>
      </c>
      <c r="X85" s="48">
        <f>$V$78-W85</f>
        <v>0</v>
      </c>
      <c r="Y85" s="47">
        <f>V85-X85</f>
        <v>0</v>
      </c>
      <c r="Z85" s="47">
        <f>W85</f>
        <v>0</v>
      </c>
      <c r="AA85" s="49">
        <f>X85</f>
        <v>0</v>
      </c>
      <c r="AC85" s="41"/>
      <c r="AD85" s="41"/>
      <c r="AE85" s="41"/>
      <c r="AF85" s="41"/>
      <c r="AG85" s="41"/>
      <c r="AH85" s="44"/>
      <c r="AI85" s="44"/>
      <c r="AJ85" s="44"/>
    </row>
    <row r="86" spans="2:36" x14ac:dyDescent="0.2">
      <c r="B86" s="65">
        <v>2</v>
      </c>
      <c r="C86" s="35" t="str">
        <f t="shared" ref="C86:C96" si="18">IF(B86&lt;=$D$74,DATE(YEAR(C85),MONTH(C85)+12/$D$72,DAY(C85)),"0")</f>
        <v>0</v>
      </c>
      <c r="D86" s="36">
        <f t="shared" si="11"/>
        <v>0</v>
      </c>
      <c r="E86" s="36">
        <f t="shared" si="12"/>
        <v>0</v>
      </c>
      <c r="F86" s="37">
        <f t="shared" si="13"/>
        <v>0</v>
      </c>
      <c r="G86" s="36">
        <f>D86-F86</f>
        <v>0</v>
      </c>
      <c r="H86" s="36">
        <f t="shared" si="14"/>
        <v>0</v>
      </c>
      <c r="I86" s="39">
        <f t="shared" si="15"/>
        <v>0</v>
      </c>
      <c r="K86" s="38">
        <f>K85+1</f>
        <v>2</v>
      </c>
      <c r="L86" s="35" t="str">
        <f t="shared" ref="L86:L96" si="19">IF(K86&lt;=$M$74,DATE(YEAR(L85),MONTH(L85)+12/$M$72,DAY(L85)),"0")</f>
        <v>0</v>
      </c>
      <c r="M86" s="36">
        <f t="shared" ref="M86:M96" si="20">IF(K86&lt;=$M$74,P85,0)</f>
        <v>0</v>
      </c>
      <c r="N86" s="36">
        <f t="shared" si="16"/>
        <v>0</v>
      </c>
      <c r="O86" s="37">
        <f t="shared" ref="O86:O96" si="21">IF(K86&lt;=$M$74,$M$78-N86,0)</f>
        <v>0</v>
      </c>
      <c r="P86" s="36">
        <f>M86-O86</f>
        <v>0</v>
      </c>
      <c r="Q86" s="36">
        <f t="shared" ref="Q86:Q96" si="22">IF(K86&lt;=$M$74,Q85+N86,0)</f>
        <v>0</v>
      </c>
      <c r="R86" s="39">
        <f t="shared" ref="R86:R96" si="23">IF(K86&lt;=$D$74,R85+O86,0)</f>
        <v>0</v>
      </c>
      <c r="T86" s="38">
        <f>T85+1</f>
        <v>2</v>
      </c>
      <c r="U86" s="35" t="str">
        <f t="shared" ref="U86:U96" si="24">IF(T86&lt;=$V$74,DATE(YEAR(U85),MONTH(U85)+12/$V$72,DAY(U85)),"0")</f>
        <v>0</v>
      </c>
      <c r="V86" s="36">
        <f t="shared" ref="V86:V96" si="25">IF(T86&lt;=$V$74,Y85,0)</f>
        <v>0</v>
      </c>
      <c r="W86" s="36">
        <f t="shared" si="17"/>
        <v>0</v>
      </c>
      <c r="X86" s="37">
        <f t="shared" ref="X86:X96" si="26">IF(T86&lt;=$V$74,$V$78-W86,0)</f>
        <v>0</v>
      </c>
      <c r="Y86" s="36">
        <f>V86-X86</f>
        <v>0</v>
      </c>
      <c r="Z86" s="36">
        <f t="shared" ref="Z86:Z96" si="27">IF(T86&lt;=$V$74,Z85+W86,0)</f>
        <v>0</v>
      </c>
      <c r="AA86" s="39">
        <f t="shared" ref="AA86:AA96" si="28">IF(T86&lt;=$V$74,AA85+X86,0)</f>
        <v>0</v>
      </c>
      <c r="AC86" s="41"/>
      <c r="AD86" s="41"/>
      <c r="AE86" s="41"/>
      <c r="AF86" s="41"/>
      <c r="AG86" s="41"/>
      <c r="AH86" s="44"/>
      <c r="AI86" s="44"/>
      <c r="AJ86" s="44"/>
    </row>
    <row r="87" spans="2:36" x14ac:dyDescent="0.2">
      <c r="B87" s="65">
        <v>3</v>
      </c>
      <c r="C87" s="35" t="str">
        <f t="shared" si="18"/>
        <v>0</v>
      </c>
      <c r="D87" s="36">
        <f t="shared" si="11"/>
        <v>0</v>
      </c>
      <c r="E87" s="36">
        <f t="shared" si="12"/>
        <v>0</v>
      </c>
      <c r="F87" s="37">
        <f t="shared" si="13"/>
        <v>0</v>
      </c>
      <c r="G87" s="36">
        <f>D87-F87</f>
        <v>0</v>
      </c>
      <c r="H87" s="36">
        <f t="shared" si="14"/>
        <v>0</v>
      </c>
      <c r="I87" s="39">
        <f t="shared" si="15"/>
        <v>0</v>
      </c>
      <c r="K87" s="38">
        <f>K86+1</f>
        <v>3</v>
      </c>
      <c r="L87" s="35" t="str">
        <f t="shared" si="19"/>
        <v>0</v>
      </c>
      <c r="M87" s="36">
        <f t="shared" si="20"/>
        <v>0</v>
      </c>
      <c r="N87" s="36">
        <f t="shared" si="16"/>
        <v>0</v>
      </c>
      <c r="O87" s="37">
        <f t="shared" si="21"/>
        <v>0</v>
      </c>
      <c r="P87" s="36">
        <f t="shared" ref="P87:P96" si="29">M87-O87</f>
        <v>0</v>
      </c>
      <c r="Q87" s="36">
        <f t="shared" si="22"/>
        <v>0</v>
      </c>
      <c r="R87" s="39">
        <f t="shared" si="23"/>
        <v>0</v>
      </c>
      <c r="T87" s="38">
        <f>T86+1</f>
        <v>3</v>
      </c>
      <c r="U87" s="35" t="str">
        <f t="shared" si="24"/>
        <v>0</v>
      </c>
      <c r="V87" s="36">
        <f t="shared" si="25"/>
        <v>0</v>
      </c>
      <c r="W87" s="36">
        <f t="shared" si="17"/>
        <v>0</v>
      </c>
      <c r="X87" s="37">
        <f t="shared" si="26"/>
        <v>0</v>
      </c>
      <c r="Y87" s="36">
        <f t="shared" ref="Y87:Y96" si="30">V87-X87</f>
        <v>0</v>
      </c>
      <c r="Z87" s="36">
        <f t="shared" si="27"/>
        <v>0</v>
      </c>
      <c r="AA87" s="39">
        <f t="shared" si="28"/>
        <v>0</v>
      </c>
      <c r="AC87" s="41"/>
      <c r="AD87" s="41"/>
      <c r="AE87" s="41"/>
      <c r="AF87" s="41"/>
      <c r="AG87" s="41"/>
      <c r="AH87" s="44"/>
      <c r="AI87" s="44"/>
      <c r="AJ87" s="44"/>
    </row>
    <row r="88" spans="2:36" x14ac:dyDescent="0.2">
      <c r="B88" s="65">
        <v>4</v>
      </c>
      <c r="C88" s="35" t="str">
        <f t="shared" si="18"/>
        <v>0</v>
      </c>
      <c r="D88" s="36">
        <f t="shared" si="11"/>
        <v>0</v>
      </c>
      <c r="E88" s="36">
        <f t="shared" si="12"/>
        <v>0</v>
      </c>
      <c r="F88" s="37">
        <f t="shared" si="13"/>
        <v>0</v>
      </c>
      <c r="G88" s="36">
        <f>D88-F88</f>
        <v>0</v>
      </c>
      <c r="H88" s="36">
        <f t="shared" si="14"/>
        <v>0</v>
      </c>
      <c r="I88" s="39">
        <f t="shared" si="15"/>
        <v>0</v>
      </c>
      <c r="K88" s="38">
        <f>K87+1</f>
        <v>4</v>
      </c>
      <c r="L88" s="35" t="str">
        <f t="shared" si="19"/>
        <v>0</v>
      </c>
      <c r="M88" s="36">
        <f t="shared" si="20"/>
        <v>0</v>
      </c>
      <c r="N88" s="36">
        <f t="shared" si="16"/>
        <v>0</v>
      </c>
      <c r="O88" s="37">
        <f t="shared" si="21"/>
        <v>0</v>
      </c>
      <c r="P88" s="36">
        <f t="shared" si="29"/>
        <v>0</v>
      </c>
      <c r="Q88" s="36">
        <f t="shared" si="22"/>
        <v>0</v>
      </c>
      <c r="R88" s="39">
        <f t="shared" si="23"/>
        <v>0</v>
      </c>
      <c r="T88" s="38">
        <f>T87+1</f>
        <v>4</v>
      </c>
      <c r="U88" s="35" t="str">
        <f t="shared" si="24"/>
        <v>0</v>
      </c>
      <c r="V88" s="36">
        <f t="shared" si="25"/>
        <v>0</v>
      </c>
      <c r="W88" s="36">
        <f t="shared" si="17"/>
        <v>0</v>
      </c>
      <c r="X88" s="37">
        <f t="shared" si="26"/>
        <v>0</v>
      </c>
      <c r="Y88" s="36">
        <f t="shared" si="30"/>
        <v>0</v>
      </c>
      <c r="Z88" s="36">
        <f t="shared" si="27"/>
        <v>0</v>
      </c>
      <c r="AA88" s="39">
        <f t="shared" si="28"/>
        <v>0</v>
      </c>
      <c r="AC88" s="41"/>
      <c r="AD88" s="41"/>
      <c r="AE88" s="41"/>
      <c r="AF88" s="41"/>
      <c r="AG88" s="41"/>
      <c r="AH88" s="44"/>
      <c r="AI88" s="44"/>
      <c r="AJ88" s="44"/>
    </row>
    <row r="89" spans="2:36" x14ac:dyDescent="0.2">
      <c r="B89" s="65">
        <v>5</v>
      </c>
      <c r="C89" s="35" t="str">
        <f t="shared" si="18"/>
        <v>0</v>
      </c>
      <c r="D89" s="36">
        <f t="shared" si="11"/>
        <v>0</v>
      </c>
      <c r="E89" s="36">
        <f t="shared" si="12"/>
        <v>0</v>
      </c>
      <c r="F89" s="37">
        <f t="shared" si="13"/>
        <v>0</v>
      </c>
      <c r="G89" s="36">
        <f t="shared" ref="G89:G96" si="31">D89-F89</f>
        <v>0</v>
      </c>
      <c r="H89" s="36">
        <f t="shared" si="14"/>
        <v>0</v>
      </c>
      <c r="I89" s="39">
        <f t="shared" si="15"/>
        <v>0</v>
      </c>
      <c r="K89" s="38">
        <f t="shared" ref="K89:K96" si="32">K88+1</f>
        <v>5</v>
      </c>
      <c r="L89" s="35" t="str">
        <f t="shared" si="19"/>
        <v>0</v>
      </c>
      <c r="M89" s="36">
        <f t="shared" si="20"/>
        <v>0</v>
      </c>
      <c r="N89" s="36">
        <f t="shared" si="16"/>
        <v>0</v>
      </c>
      <c r="O89" s="37">
        <f t="shared" si="21"/>
        <v>0</v>
      </c>
      <c r="P89" s="36">
        <f t="shared" si="29"/>
        <v>0</v>
      </c>
      <c r="Q89" s="36">
        <f t="shared" si="22"/>
        <v>0</v>
      </c>
      <c r="R89" s="39">
        <f t="shared" si="23"/>
        <v>0</v>
      </c>
      <c r="T89" s="38">
        <f t="shared" ref="T89:T96" si="33">T88+1</f>
        <v>5</v>
      </c>
      <c r="U89" s="35" t="str">
        <f t="shared" si="24"/>
        <v>0</v>
      </c>
      <c r="V89" s="36">
        <f t="shared" si="25"/>
        <v>0</v>
      </c>
      <c r="W89" s="36">
        <f t="shared" si="17"/>
        <v>0</v>
      </c>
      <c r="X89" s="37">
        <f t="shared" si="26"/>
        <v>0</v>
      </c>
      <c r="Y89" s="36">
        <f t="shared" si="30"/>
        <v>0</v>
      </c>
      <c r="Z89" s="36">
        <f t="shared" si="27"/>
        <v>0</v>
      </c>
      <c r="AA89" s="39">
        <f t="shared" si="28"/>
        <v>0</v>
      </c>
      <c r="AC89" s="41"/>
      <c r="AD89" s="41"/>
      <c r="AE89" s="41"/>
      <c r="AF89" s="41"/>
      <c r="AG89" s="41"/>
      <c r="AH89" s="44"/>
      <c r="AI89" s="44"/>
      <c r="AJ89" s="44"/>
    </row>
    <row r="90" spans="2:36" x14ac:dyDescent="0.2">
      <c r="B90" s="65">
        <v>6</v>
      </c>
      <c r="C90" s="35" t="str">
        <f t="shared" si="18"/>
        <v>0</v>
      </c>
      <c r="D90" s="36">
        <f t="shared" si="11"/>
        <v>0</v>
      </c>
      <c r="E90" s="36">
        <f t="shared" si="12"/>
        <v>0</v>
      </c>
      <c r="F90" s="37">
        <f t="shared" si="13"/>
        <v>0</v>
      </c>
      <c r="G90" s="36">
        <f t="shared" si="31"/>
        <v>0</v>
      </c>
      <c r="H90" s="36">
        <f t="shared" si="14"/>
        <v>0</v>
      </c>
      <c r="I90" s="39">
        <f t="shared" si="15"/>
        <v>0</v>
      </c>
      <c r="K90" s="38">
        <f t="shared" si="32"/>
        <v>6</v>
      </c>
      <c r="L90" s="35" t="str">
        <f t="shared" si="19"/>
        <v>0</v>
      </c>
      <c r="M90" s="36">
        <f t="shared" si="20"/>
        <v>0</v>
      </c>
      <c r="N90" s="36">
        <f t="shared" si="16"/>
        <v>0</v>
      </c>
      <c r="O90" s="37">
        <f t="shared" si="21"/>
        <v>0</v>
      </c>
      <c r="P90" s="36">
        <f t="shared" si="29"/>
        <v>0</v>
      </c>
      <c r="Q90" s="36">
        <f t="shared" si="22"/>
        <v>0</v>
      </c>
      <c r="R90" s="39">
        <f t="shared" si="23"/>
        <v>0</v>
      </c>
      <c r="T90" s="38">
        <f t="shared" si="33"/>
        <v>6</v>
      </c>
      <c r="U90" s="35" t="str">
        <f t="shared" si="24"/>
        <v>0</v>
      </c>
      <c r="V90" s="36">
        <f t="shared" si="25"/>
        <v>0</v>
      </c>
      <c r="W90" s="36">
        <f t="shared" si="17"/>
        <v>0</v>
      </c>
      <c r="X90" s="37">
        <f t="shared" si="26"/>
        <v>0</v>
      </c>
      <c r="Y90" s="36">
        <f t="shared" si="30"/>
        <v>0</v>
      </c>
      <c r="Z90" s="36">
        <f t="shared" si="27"/>
        <v>0</v>
      </c>
      <c r="AA90" s="39">
        <f t="shared" si="28"/>
        <v>0</v>
      </c>
      <c r="AC90" s="41"/>
      <c r="AD90" s="41"/>
      <c r="AE90" s="41"/>
      <c r="AF90" s="41"/>
      <c r="AG90" s="41"/>
      <c r="AH90" s="44"/>
      <c r="AI90" s="44"/>
      <c r="AJ90" s="44"/>
    </row>
    <row r="91" spans="2:36" x14ac:dyDescent="0.2">
      <c r="B91" s="65">
        <v>7</v>
      </c>
      <c r="C91" s="35" t="str">
        <f t="shared" si="18"/>
        <v>0</v>
      </c>
      <c r="D91" s="36">
        <f t="shared" si="11"/>
        <v>0</v>
      </c>
      <c r="E91" s="36">
        <f t="shared" si="12"/>
        <v>0</v>
      </c>
      <c r="F91" s="37">
        <f t="shared" si="13"/>
        <v>0</v>
      </c>
      <c r="G91" s="36">
        <f t="shared" si="31"/>
        <v>0</v>
      </c>
      <c r="H91" s="36">
        <f t="shared" si="14"/>
        <v>0</v>
      </c>
      <c r="I91" s="39">
        <f t="shared" si="15"/>
        <v>0</v>
      </c>
      <c r="K91" s="38">
        <f t="shared" si="32"/>
        <v>7</v>
      </c>
      <c r="L91" s="35" t="str">
        <f t="shared" si="19"/>
        <v>0</v>
      </c>
      <c r="M91" s="36">
        <f t="shared" si="20"/>
        <v>0</v>
      </c>
      <c r="N91" s="36">
        <f t="shared" si="16"/>
        <v>0</v>
      </c>
      <c r="O91" s="37">
        <f t="shared" si="21"/>
        <v>0</v>
      </c>
      <c r="P91" s="36">
        <f t="shared" si="29"/>
        <v>0</v>
      </c>
      <c r="Q91" s="36">
        <f t="shared" si="22"/>
        <v>0</v>
      </c>
      <c r="R91" s="39">
        <f t="shared" si="23"/>
        <v>0</v>
      </c>
      <c r="T91" s="38">
        <f t="shared" si="33"/>
        <v>7</v>
      </c>
      <c r="U91" s="35" t="str">
        <f t="shared" si="24"/>
        <v>0</v>
      </c>
      <c r="V91" s="36">
        <f t="shared" si="25"/>
        <v>0</v>
      </c>
      <c r="W91" s="36">
        <f t="shared" si="17"/>
        <v>0</v>
      </c>
      <c r="X91" s="37">
        <f t="shared" si="26"/>
        <v>0</v>
      </c>
      <c r="Y91" s="36">
        <f t="shared" si="30"/>
        <v>0</v>
      </c>
      <c r="Z91" s="36">
        <f t="shared" si="27"/>
        <v>0</v>
      </c>
      <c r="AA91" s="39">
        <f t="shared" si="28"/>
        <v>0</v>
      </c>
      <c r="AC91" s="41"/>
      <c r="AD91" s="41"/>
      <c r="AE91" s="41"/>
      <c r="AF91" s="41"/>
      <c r="AG91" s="41"/>
      <c r="AH91" s="44"/>
      <c r="AI91" s="44"/>
      <c r="AJ91" s="44"/>
    </row>
    <row r="92" spans="2:36" x14ac:dyDescent="0.2">
      <c r="B92" s="65">
        <v>8</v>
      </c>
      <c r="C92" s="35" t="str">
        <f t="shared" si="18"/>
        <v>0</v>
      </c>
      <c r="D92" s="36">
        <f t="shared" si="11"/>
        <v>0</v>
      </c>
      <c r="E92" s="36">
        <f t="shared" si="12"/>
        <v>0</v>
      </c>
      <c r="F92" s="37">
        <f t="shared" si="13"/>
        <v>0</v>
      </c>
      <c r="G92" s="36">
        <f t="shared" si="31"/>
        <v>0</v>
      </c>
      <c r="H92" s="36">
        <f t="shared" si="14"/>
        <v>0</v>
      </c>
      <c r="I92" s="39">
        <f t="shared" si="15"/>
        <v>0</v>
      </c>
      <c r="K92" s="38">
        <f t="shared" si="32"/>
        <v>8</v>
      </c>
      <c r="L92" s="35" t="str">
        <f t="shared" si="19"/>
        <v>0</v>
      </c>
      <c r="M92" s="36">
        <f t="shared" si="20"/>
        <v>0</v>
      </c>
      <c r="N92" s="36">
        <f t="shared" si="16"/>
        <v>0</v>
      </c>
      <c r="O92" s="37">
        <f t="shared" si="21"/>
        <v>0</v>
      </c>
      <c r="P92" s="36">
        <f t="shared" si="29"/>
        <v>0</v>
      </c>
      <c r="Q92" s="36">
        <f t="shared" si="22"/>
        <v>0</v>
      </c>
      <c r="R92" s="39">
        <f t="shared" si="23"/>
        <v>0</v>
      </c>
      <c r="T92" s="38">
        <f t="shared" si="33"/>
        <v>8</v>
      </c>
      <c r="U92" s="35" t="str">
        <f t="shared" si="24"/>
        <v>0</v>
      </c>
      <c r="V92" s="36">
        <f t="shared" si="25"/>
        <v>0</v>
      </c>
      <c r="W92" s="36">
        <f t="shared" si="17"/>
        <v>0</v>
      </c>
      <c r="X92" s="37">
        <f t="shared" si="26"/>
        <v>0</v>
      </c>
      <c r="Y92" s="36">
        <f t="shared" si="30"/>
        <v>0</v>
      </c>
      <c r="Z92" s="36">
        <f t="shared" si="27"/>
        <v>0</v>
      </c>
      <c r="AA92" s="39">
        <f t="shared" si="28"/>
        <v>0</v>
      </c>
      <c r="AC92" s="41"/>
      <c r="AD92" s="41"/>
      <c r="AE92" s="41"/>
      <c r="AF92" s="41"/>
      <c r="AG92" s="41"/>
      <c r="AH92" s="44"/>
      <c r="AI92" s="44"/>
      <c r="AJ92" s="44"/>
    </row>
    <row r="93" spans="2:36" x14ac:dyDescent="0.2">
      <c r="B93" s="65">
        <v>9</v>
      </c>
      <c r="C93" s="35" t="str">
        <f t="shared" si="18"/>
        <v>0</v>
      </c>
      <c r="D93" s="36">
        <f t="shared" si="11"/>
        <v>0</v>
      </c>
      <c r="E93" s="36">
        <f t="shared" si="12"/>
        <v>0</v>
      </c>
      <c r="F93" s="37">
        <f t="shared" si="13"/>
        <v>0</v>
      </c>
      <c r="G93" s="36">
        <f t="shared" si="31"/>
        <v>0</v>
      </c>
      <c r="H93" s="36">
        <f t="shared" si="14"/>
        <v>0</v>
      </c>
      <c r="I93" s="39">
        <f t="shared" si="15"/>
        <v>0</v>
      </c>
      <c r="K93" s="38">
        <f t="shared" si="32"/>
        <v>9</v>
      </c>
      <c r="L93" s="35" t="str">
        <f t="shared" si="19"/>
        <v>0</v>
      </c>
      <c r="M93" s="36">
        <f t="shared" si="20"/>
        <v>0</v>
      </c>
      <c r="N93" s="36">
        <f t="shared" si="16"/>
        <v>0</v>
      </c>
      <c r="O93" s="37">
        <f t="shared" si="21"/>
        <v>0</v>
      </c>
      <c r="P93" s="36">
        <f t="shared" si="29"/>
        <v>0</v>
      </c>
      <c r="Q93" s="36">
        <f t="shared" si="22"/>
        <v>0</v>
      </c>
      <c r="R93" s="39">
        <f t="shared" si="23"/>
        <v>0</v>
      </c>
      <c r="T93" s="38">
        <f t="shared" si="33"/>
        <v>9</v>
      </c>
      <c r="U93" s="35" t="str">
        <f t="shared" si="24"/>
        <v>0</v>
      </c>
      <c r="V93" s="36">
        <f t="shared" si="25"/>
        <v>0</v>
      </c>
      <c r="W93" s="36">
        <f t="shared" si="17"/>
        <v>0</v>
      </c>
      <c r="X93" s="37">
        <f t="shared" si="26"/>
        <v>0</v>
      </c>
      <c r="Y93" s="36">
        <f t="shared" si="30"/>
        <v>0</v>
      </c>
      <c r="Z93" s="36">
        <f t="shared" si="27"/>
        <v>0</v>
      </c>
      <c r="AA93" s="39">
        <f t="shared" si="28"/>
        <v>0</v>
      </c>
      <c r="AC93" s="41"/>
      <c r="AD93" s="41"/>
      <c r="AE93" s="41"/>
      <c r="AF93" s="41"/>
      <c r="AG93" s="41"/>
      <c r="AH93" s="44"/>
      <c r="AI93" s="44"/>
      <c r="AJ93" s="44"/>
    </row>
    <row r="94" spans="2:36" x14ac:dyDescent="0.2">
      <c r="B94" s="65">
        <v>10</v>
      </c>
      <c r="C94" s="35" t="str">
        <f t="shared" si="18"/>
        <v>0</v>
      </c>
      <c r="D94" s="36">
        <f t="shared" si="11"/>
        <v>0</v>
      </c>
      <c r="E94" s="36">
        <f t="shared" si="12"/>
        <v>0</v>
      </c>
      <c r="F94" s="37">
        <f t="shared" si="13"/>
        <v>0</v>
      </c>
      <c r="G94" s="36">
        <f t="shared" si="31"/>
        <v>0</v>
      </c>
      <c r="H94" s="36">
        <f t="shared" si="14"/>
        <v>0</v>
      </c>
      <c r="I94" s="39">
        <f t="shared" si="15"/>
        <v>0</v>
      </c>
      <c r="K94" s="38">
        <f t="shared" si="32"/>
        <v>10</v>
      </c>
      <c r="L94" s="35" t="str">
        <f t="shared" si="19"/>
        <v>0</v>
      </c>
      <c r="M94" s="36">
        <f t="shared" si="20"/>
        <v>0</v>
      </c>
      <c r="N94" s="36">
        <f t="shared" si="16"/>
        <v>0</v>
      </c>
      <c r="O94" s="37">
        <f t="shared" si="21"/>
        <v>0</v>
      </c>
      <c r="P94" s="36">
        <f t="shared" si="29"/>
        <v>0</v>
      </c>
      <c r="Q94" s="36">
        <f t="shared" si="22"/>
        <v>0</v>
      </c>
      <c r="R94" s="39">
        <f t="shared" si="23"/>
        <v>0</v>
      </c>
      <c r="T94" s="38">
        <f t="shared" si="33"/>
        <v>10</v>
      </c>
      <c r="U94" s="35" t="str">
        <f t="shared" si="24"/>
        <v>0</v>
      </c>
      <c r="V94" s="36">
        <f t="shared" si="25"/>
        <v>0</v>
      </c>
      <c r="W94" s="36">
        <f t="shared" si="17"/>
        <v>0</v>
      </c>
      <c r="X94" s="37">
        <f t="shared" si="26"/>
        <v>0</v>
      </c>
      <c r="Y94" s="36">
        <f t="shared" si="30"/>
        <v>0</v>
      </c>
      <c r="Z94" s="36">
        <f t="shared" si="27"/>
        <v>0</v>
      </c>
      <c r="AA94" s="39">
        <f t="shared" si="28"/>
        <v>0</v>
      </c>
      <c r="AC94" s="41"/>
      <c r="AD94" s="41"/>
      <c r="AE94" s="41"/>
      <c r="AF94" s="41"/>
      <c r="AG94" s="41"/>
      <c r="AH94" s="44"/>
      <c r="AI94" s="44"/>
      <c r="AJ94" s="44"/>
    </row>
    <row r="95" spans="2:36" x14ac:dyDescent="0.2">
      <c r="B95" s="65">
        <v>11</v>
      </c>
      <c r="C95" s="35" t="str">
        <f t="shared" si="18"/>
        <v>0</v>
      </c>
      <c r="D95" s="36">
        <f t="shared" si="11"/>
        <v>0</v>
      </c>
      <c r="E95" s="36">
        <f t="shared" si="12"/>
        <v>0</v>
      </c>
      <c r="F95" s="37">
        <f t="shared" si="13"/>
        <v>0</v>
      </c>
      <c r="G95" s="36">
        <f t="shared" si="31"/>
        <v>0</v>
      </c>
      <c r="H95" s="36">
        <f t="shared" si="14"/>
        <v>0</v>
      </c>
      <c r="I95" s="39">
        <f t="shared" si="15"/>
        <v>0</v>
      </c>
      <c r="K95" s="38">
        <f t="shared" si="32"/>
        <v>11</v>
      </c>
      <c r="L95" s="35" t="str">
        <f t="shared" si="19"/>
        <v>0</v>
      </c>
      <c r="M95" s="36">
        <f t="shared" si="20"/>
        <v>0</v>
      </c>
      <c r="N95" s="36">
        <f t="shared" si="16"/>
        <v>0</v>
      </c>
      <c r="O95" s="37">
        <f t="shared" si="21"/>
        <v>0</v>
      </c>
      <c r="P95" s="36">
        <f t="shared" si="29"/>
        <v>0</v>
      </c>
      <c r="Q95" s="36">
        <f t="shared" si="22"/>
        <v>0</v>
      </c>
      <c r="R95" s="39">
        <f t="shared" si="23"/>
        <v>0</v>
      </c>
      <c r="T95" s="38">
        <f t="shared" si="33"/>
        <v>11</v>
      </c>
      <c r="U95" s="35" t="str">
        <f t="shared" si="24"/>
        <v>0</v>
      </c>
      <c r="V95" s="36">
        <f t="shared" si="25"/>
        <v>0</v>
      </c>
      <c r="W95" s="36">
        <f t="shared" si="17"/>
        <v>0</v>
      </c>
      <c r="X95" s="37">
        <f t="shared" si="26"/>
        <v>0</v>
      </c>
      <c r="Y95" s="36">
        <f t="shared" si="30"/>
        <v>0</v>
      </c>
      <c r="Z95" s="36">
        <f t="shared" si="27"/>
        <v>0</v>
      </c>
      <c r="AA95" s="39">
        <f t="shared" si="28"/>
        <v>0</v>
      </c>
      <c r="AC95" s="41"/>
      <c r="AD95" s="41"/>
      <c r="AE95" s="41"/>
      <c r="AF95" s="41"/>
      <c r="AG95" s="41"/>
      <c r="AH95" s="44"/>
      <c r="AI95" s="44"/>
      <c r="AJ95" s="44"/>
    </row>
    <row r="96" spans="2:36" s="41" customFormat="1" ht="13.5" thickBot="1" x14ac:dyDescent="0.25">
      <c r="B96" s="40">
        <v>12</v>
      </c>
      <c r="C96" s="391" t="str">
        <f t="shared" si="18"/>
        <v>0</v>
      </c>
      <c r="D96" s="111">
        <f t="shared" si="11"/>
        <v>0</v>
      </c>
      <c r="E96" s="111">
        <f t="shared" si="12"/>
        <v>0</v>
      </c>
      <c r="F96" s="112">
        <f t="shared" si="13"/>
        <v>0</v>
      </c>
      <c r="G96" s="111">
        <f t="shared" si="31"/>
        <v>0</v>
      </c>
      <c r="H96" s="111">
        <f t="shared" si="14"/>
        <v>0</v>
      </c>
      <c r="I96" s="113">
        <f t="shared" si="15"/>
        <v>0</v>
      </c>
      <c r="K96" s="40">
        <f t="shared" si="32"/>
        <v>12</v>
      </c>
      <c r="L96" s="391" t="str">
        <f t="shared" si="19"/>
        <v>0</v>
      </c>
      <c r="M96" s="111">
        <f t="shared" si="20"/>
        <v>0</v>
      </c>
      <c r="N96" s="111">
        <f t="shared" si="16"/>
        <v>0</v>
      </c>
      <c r="O96" s="112">
        <f t="shared" si="21"/>
        <v>0</v>
      </c>
      <c r="P96" s="111">
        <f t="shared" si="29"/>
        <v>0</v>
      </c>
      <c r="Q96" s="111">
        <f t="shared" si="22"/>
        <v>0</v>
      </c>
      <c r="R96" s="113">
        <f t="shared" si="23"/>
        <v>0</v>
      </c>
      <c r="T96" s="40">
        <f t="shared" si="33"/>
        <v>12</v>
      </c>
      <c r="U96" s="391" t="str">
        <f t="shared" si="24"/>
        <v>0</v>
      </c>
      <c r="V96" s="111">
        <f t="shared" si="25"/>
        <v>0</v>
      </c>
      <c r="W96" s="111">
        <f t="shared" si="17"/>
        <v>0</v>
      </c>
      <c r="X96" s="112">
        <f t="shared" si="26"/>
        <v>0</v>
      </c>
      <c r="Y96" s="111">
        <f t="shared" si="30"/>
        <v>0</v>
      </c>
      <c r="Z96" s="111">
        <f t="shared" si="27"/>
        <v>0</v>
      </c>
      <c r="AA96" s="113">
        <f t="shared" si="28"/>
        <v>0</v>
      </c>
      <c r="AH96" s="44"/>
      <c r="AI96" s="44"/>
      <c r="AJ96" s="44"/>
    </row>
    <row r="97" spans="1:36" ht="13.5" thickTop="1" x14ac:dyDescent="0.2">
      <c r="B97" s="41"/>
      <c r="C97" s="41"/>
      <c r="D97" s="41"/>
      <c r="E97" s="42"/>
      <c r="F97" s="43"/>
      <c r="G97" s="41"/>
      <c r="H97" s="41"/>
      <c r="I97" s="41"/>
      <c r="K97" s="41"/>
      <c r="L97" s="41"/>
      <c r="M97" s="41"/>
      <c r="N97" s="42"/>
      <c r="O97" s="43"/>
      <c r="P97" s="41"/>
      <c r="Q97" s="41"/>
      <c r="R97" s="41"/>
      <c r="T97" s="41"/>
      <c r="U97" s="41"/>
      <c r="V97" s="41"/>
      <c r="W97" s="42"/>
      <c r="X97" s="43"/>
      <c r="Y97" s="41"/>
      <c r="Z97" s="41"/>
      <c r="AA97" s="41"/>
      <c r="AC97" s="41"/>
      <c r="AD97" s="41"/>
      <c r="AE97" s="41"/>
      <c r="AF97" s="41"/>
      <c r="AG97" s="41"/>
      <c r="AH97" s="44"/>
      <c r="AI97" s="44"/>
      <c r="AJ97" s="44"/>
    </row>
    <row r="98" spans="1:36" x14ac:dyDescent="0.2">
      <c r="B98" s="41"/>
      <c r="C98" s="57"/>
      <c r="D98" s="41"/>
      <c r="E98" s="42"/>
      <c r="F98" s="41"/>
      <c r="G98" s="41"/>
      <c r="H98" s="41"/>
      <c r="I98" s="41"/>
      <c r="K98" s="41"/>
      <c r="L98" s="41"/>
      <c r="M98" s="41"/>
      <c r="N98" s="42"/>
      <c r="O98" s="41"/>
      <c r="P98" s="41"/>
      <c r="Q98" s="41"/>
      <c r="R98" s="41"/>
      <c r="T98" s="41"/>
      <c r="U98" s="41"/>
      <c r="V98" s="41"/>
      <c r="W98" s="42"/>
      <c r="X98" s="41"/>
      <c r="Y98" s="41"/>
      <c r="Z98" s="41"/>
      <c r="AA98" s="41"/>
      <c r="AC98" s="41"/>
      <c r="AD98" s="41"/>
      <c r="AE98" s="41"/>
      <c r="AF98" s="41"/>
      <c r="AG98" s="41"/>
      <c r="AH98" s="44"/>
      <c r="AI98" s="44"/>
      <c r="AJ98" s="44"/>
    </row>
    <row r="99" spans="1:36" x14ac:dyDescent="0.2">
      <c r="C99" s="57"/>
      <c r="K99" s="41"/>
      <c r="L99" s="57"/>
      <c r="M99" s="41"/>
      <c r="N99" s="41"/>
      <c r="O99" s="41"/>
      <c r="P99" s="44"/>
      <c r="Q99" s="44"/>
      <c r="R99" s="44"/>
      <c r="T99" s="41"/>
      <c r="U99" s="57"/>
      <c r="V99" s="41"/>
      <c r="W99" s="41"/>
      <c r="X99" s="41"/>
      <c r="Y99" s="44"/>
      <c r="Z99" s="44"/>
      <c r="AA99" s="44"/>
      <c r="AC99" s="41"/>
      <c r="AD99" s="41"/>
      <c r="AE99" s="41"/>
      <c r="AF99" s="41"/>
      <c r="AG99" s="41"/>
      <c r="AH99" s="44"/>
      <c r="AI99" s="44"/>
      <c r="AJ99" s="44"/>
    </row>
    <row r="100" spans="1:36" x14ac:dyDescent="0.2">
      <c r="K100" s="41"/>
      <c r="L100" s="41"/>
      <c r="M100" s="41"/>
      <c r="N100" s="41"/>
      <c r="O100" s="41"/>
      <c r="P100" s="44"/>
      <c r="Q100" s="44"/>
      <c r="R100" s="44"/>
      <c r="T100" s="41"/>
      <c r="U100" s="41"/>
      <c r="V100" s="41"/>
      <c r="W100" s="41"/>
      <c r="X100" s="41"/>
      <c r="Y100" s="44"/>
      <c r="Z100" s="44"/>
      <c r="AA100" s="44"/>
      <c r="AC100" s="41"/>
      <c r="AD100" s="41"/>
      <c r="AE100" s="41"/>
      <c r="AF100" s="41"/>
      <c r="AG100" s="41"/>
      <c r="AH100" s="44"/>
      <c r="AI100" s="44"/>
      <c r="AJ100" s="44"/>
    </row>
    <row r="101" spans="1:36" x14ac:dyDescent="0.2">
      <c r="Y101" s="44"/>
      <c r="Z101" s="44"/>
      <c r="AA101" s="44"/>
      <c r="AC101" s="41"/>
      <c r="AD101" s="41"/>
      <c r="AE101" s="41"/>
      <c r="AF101" s="41"/>
      <c r="AG101" s="41"/>
      <c r="AH101" s="44"/>
      <c r="AI101" s="44"/>
      <c r="AJ101" s="44"/>
    </row>
    <row r="102" spans="1:36" x14ac:dyDescent="0.2">
      <c r="Y102" s="44"/>
      <c r="Z102" s="44"/>
      <c r="AA102" s="44"/>
      <c r="AC102" s="41"/>
      <c r="AD102" s="41"/>
      <c r="AE102" s="41"/>
      <c r="AF102" s="41"/>
      <c r="AG102" s="41"/>
      <c r="AH102" s="44"/>
      <c r="AI102" s="44"/>
      <c r="AJ102" s="44"/>
    </row>
    <row r="103" spans="1:36" x14ac:dyDescent="0.2">
      <c r="Y103" s="44"/>
      <c r="Z103" s="44"/>
      <c r="AA103" s="44"/>
      <c r="AC103" s="41"/>
      <c r="AD103" s="41"/>
      <c r="AE103" s="41"/>
      <c r="AF103" s="41"/>
      <c r="AG103" s="41"/>
      <c r="AH103" s="44"/>
      <c r="AI103" s="44"/>
      <c r="AJ103" s="44"/>
    </row>
    <row r="104" spans="1:36" x14ac:dyDescent="0.2">
      <c r="B104" s="1"/>
      <c r="Y104" s="44"/>
      <c r="Z104" s="44"/>
      <c r="AA104" s="44"/>
      <c r="AC104" s="41"/>
      <c r="AD104" s="41"/>
      <c r="AE104" s="41"/>
      <c r="AF104" s="41"/>
      <c r="AG104" s="41"/>
      <c r="AH104" s="44"/>
      <c r="AI104" s="44"/>
      <c r="AJ104" s="44"/>
    </row>
    <row r="105" spans="1:36" x14ac:dyDescent="0.2">
      <c r="A105" s="63"/>
      <c r="Y105" s="44"/>
      <c r="Z105" s="44"/>
      <c r="AA105" s="44"/>
      <c r="AC105" s="41"/>
      <c r="AD105" s="41"/>
      <c r="AE105" s="41"/>
      <c r="AF105" s="41"/>
      <c r="AG105" s="41"/>
      <c r="AH105" s="44"/>
      <c r="AI105" s="44"/>
      <c r="AJ105" s="44"/>
    </row>
    <row r="106" spans="1:36" x14ac:dyDescent="0.2">
      <c r="Y106" s="44"/>
      <c r="Z106" s="44"/>
      <c r="AA106" s="44"/>
      <c r="AC106" s="41"/>
      <c r="AD106" s="41"/>
      <c r="AE106" s="41"/>
      <c r="AF106" s="41"/>
      <c r="AG106" s="41"/>
      <c r="AH106" s="44"/>
      <c r="AI106" s="44"/>
      <c r="AJ106" s="44"/>
    </row>
    <row r="107" spans="1:36" x14ac:dyDescent="0.2">
      <c r="Y107" s="44"/>
      <c r="Z107" s="44"/>
      <c r="AA107" s="44"/>
      <c r="AC107" s="41"/>
      <c r="AD107" s="41"/>
      <c r="AE107" s="41"/>
      <c r="AF107" s="41"/>
      <c r="AG107" s="41"/>
      <c r="AH107" s="44"/>
      <c r="AI107" s="44"/>
      <c r="AJ107" s="44"/>
    </row>
    <row r="108" spans="1:36" x14ac:dyDescent="0.2">
      <c r="Y108" s="44"/>
      <c r="Z108" s="44"/>
      <c r="AA108" s="44"/>
      <c r="AC108" s="41"/>
      <c r="AD108" s="41"/>
      <c r="AE108" s="41"/>
      <c r="AF108" s="41"/>
      <c r="AG108" s="41"/>
      <c r="AH108" s="44"/>
      <c r="AI108" s="44"/>
      <c r="AJ108" s="44"/>
    </row>
    <row r="109" spans="1:36" x14ac:dyDescent="0.2">
      <c r="Y109" s="44"/>
      <c r="Z109" s="44"/>
      <c r="AA109" s="44"/>
      <c r="AC109" s="41"/>
      <c r="AD109" s="41"/>
      <c r="AE109" s="41"/>
      <c r="AF109" s="41"/>
      <c r="AG109" s="41"/>
      <c r="AH109" s="44"/>
      <c r="AI109" s="44"/>
      <c r="AJ109" s="44"/>
    </row>
    <row r="110" spans="1:36" x14ac:dyDescent="0.2">
      <c r="Y110" s="44"/>
      <c r="Z110" s="44"/>
      <c r="AA110" s="44"/>
      <c r="AC110" s="41"/>
      <c r="AD110" s="41"/>
      <c r="AE110" s="41"/>
      <c r="AF110" s="41"/>
      <c r="AG110" s="41"/>
      <c r="AH110" s="44"/>
      <c r="AI110" s="44"/>
      <c r="AJ110" s="44"/>
    </row>
    <row r="111" spans="1:36" x14ac:dyDescent="0.2">
      <c r="Y111" s="44"/>
      <c r="Z111" s="44"/>
      <c r="AA111" s="44"/>
      <c r="AC111" s="41"/>
      <c r="AD111" s="41"/>
      <c r="AE111" s="41"/>
      <c r="AF111" s="41"/>
      <c r="AG111" s="41"/>
      <c r="AH111" s="44"/>
      <c r="AI111" s="44"/>
      <c r="AJ111" s="44"/>
    </row>
    <row r="112" spans="1:36" x14ac:dyDescent="0.2">
      <c r="Y112" s="44"/>
      <c r="Z112" s="44"/>
      <c r="AA112" s="44"/>
      <c r="AC112" s="41"/>
      <c r="AD112" s="41"/>
      <c r="AE112" s="41"/>
      <c r="AF112" s="41"/>
      <c r="AG112" s="41"/>
      <c r="AH112" s="44"/>
      <c r="AI112" s="44"/>
      <c r="AJ112" s="44"/>
    </row>
    <row r="113" spans="25:36" x14ac:dyDescent="0.2">
      <c r="Y113" s="44"/>
      <c r="Z113" s="44"/>
      <c r="AA113" s="44"/>
      <c r="AC113" s="41"/>
      <c r="AD113" s="41"/>
      <c r="AE113" s="41"/>
      <c r="AF113" s="41"/>
      <c r="AG113" s="41"/>
      <c r="AH113" s="44"/>
      <c r="AI113" s="44"/>
      <c r="AJ113" s="44"/>
    </row>
    <row r="114" spans="25:36" x14ac:dyDescent="0.2">
      <c r="Y114" s="44"/>
      <c r="Z114" s="44"/>
      <c r="AA114" s="44"/>
      <c r="AC114" s="41"/>
      <c r="AD114" s="41"/>
      <c r="AE114" s="41"/>
      <c r="AF114" s="41"/>
      <c r="AG114" s="41"/>
      <c r="AH114" s="44"/>
      <c r="AI114" s="44"/>
      <c r="AJ114" s="44"/>
    </row>
    <row r="115" spans="25:36" x14ac:dyDescent="0.2">
      <c r="Y115" s="44"/>
      <c r="Z115" s="44"/>
      <c r="AA115" s="44"/>
      <c r="AC115" s="41"/>
      <c r="AD115" s="41"/>
      <c r="AE115" s="41"/>
      <c r="AF115" s="41"/>
      <c r="AG115" s="41"/>
      <c r="AH115" s="44"/>
      <c r="AI115" s="44"/>
      <c r="AJ115" s="44"/>
    </row>
    <row r="116" spans="25:36" s="1" customFormat="1" x14ac:dyDescent="0.2">
      <c r="Y116" s="34"/>
      <c r="Z116" s="34"/>
      <c r="AA116" s="34"/>
      <c r="AH116" s="34"/>
      <c r="AI116" s="34"/>
      <c r="AJ116" s="34"/>
    </row>
    <row r="117" spans="25:36" x14ac:dyDescent="0.2">
      <c r="Y117" s="44"/>
      <c r="Z117" s="44"/>
      <c r="AA117" s="44"/>
      <c r="AC117" s="41"/>
      <c r="AD117" s="41"/>
      <c r="AE117" s="41"/>
      <c r="AF117" s="41"/>
      <c r="AG117" s="41"/>
      <c r="AH117" s="44"/>
      <c r="AI117" s="44"/>
      <c r="AJ117" s="44"/>
    </row>
    <row r="118" spans="25:36" x14ac:dyDescent="0.2">
      <c r="Y118" s="44"/>
      <c r="Z118" s="44"/>
      <c r="AA118" s="44"/>
      <c r="AC118" s="41"/>
      <c r="AD118" s="41"/>
      <c r="AE118" s="41"/>
      <c r="AF118" s="41"/>
      <c r="AG118" s="41"/>
      <c r="AH118" s="44"/>
      <c r="AI118" s="44"/>
      <c r="AJ118" s="44"/>
    </row>
    <row r="119" spans="25:36" x14ac:dyDescent="0.2">
      <c r="Y119" s="44"/>
      <c r="Z119" s="44"/>
      <c r="AA119" s="44"/>
      <c r="AC119" s="41"/>
      <c r="AD119" s="41"/>
      <c r="AE119" s="41"/>
      <c r="AF119" s="41"/>
      <c r="AG119" s="41"/>
      <c r="AH119" s="44"/>
      <c r="AI119" s="44"/>
      <c r="AJ119" s="44"/>
    </row>
    <row r="120" spans="25:36" x14ac:dyDescent="0.2">
      <c r="Y120" s="44"/>
      <c r="Z120" s="44"/>
      <c r="AA120" s="44"/>
      <c r="AC120" s="41"/>
      <c r="AD120" s="41"/>
      <c r="AE120" s="41"/>
      <c r="AF120" s="41"/>
      <c r="AG120" s="41"/>
      <c r="AH120" s="44"/>
      <c r="AI120" s="44"/>
      <c r="AJ120" s="44"/>
    </row>
    <row r="121" spans="25:36" x14ac:dyDescent="0.2">
      <c r="Y121" s="44"/>
      <c r="Z121" s="44"/>
      <c r="AA121" s="44"/>
      <c r="AC121" s="41"/>
      <c r="AD121" s="41"/>
      <c r="AE121" s="41"/>
      <c r="AF121" s="41"/>
      <c r="AG121" s="41"/>
      <c r="AH121" s="44"/>
      <c r="AI121" s="44"/>
      <c r="AJ121" s="44"/>
    </row>
    <row r="122" spans="25:36" x14ac:dyDescent="0.2">
      <c r="Y122" s="44"/>
      <c r="Z122" s="44"/>
      <c r="AA122" s="44"/>
      <c r="AC122" s="41"/>
      <c r="AD122" s="41"/>
      <c r="AE122" s="41"/>
      <c r="AF122" s="41"/>
      <c r="AG122" s="41"/>
      <c r="AH122" s="44"/>
      <c r="AI122" s="44"/>
      <c r="AJ122" s="44"/>
    </row>
    <row r="123" spans="25:36" x14ac:dyDescent="0.2">
      <c r="Y123" s="44"/>
      <c r="Z123" s="44"/>
      <c r="AA123" s="44"/>
      <c r="AC123" s="41"/>
      <c r="AD123" s="41"/>
      <c r="AE123" s="41"/>
      <c r="AF123" s="41"/>
      <c r="AG123" s="41"/>
      <c r="AH123" s="44"/>
      <c r="AI123" s="44"/>
      <c r="AJ123" s="44"/>
    </row>
    <row r="124" spans="25:36" x14ac:dyDescent="0.2">
      <c r="Y124" s="44"/>
      <c r="Z124" s="44"/>
      <c r="AA124" s="44"/>
      <c r="AC124" s="41"/>
      <c r="AD124" s="41"/>
      <c r="AE124" s="41"/>
      <c r="AF124" s="41"/>
      <c r="AG124" s="41"/>
      <c r="AH124" s="44"/>
      <c r="AI124" s="44"/>
      <c r="AJ124" s="44"/>
    </row>
    <row r="125" spans="25:36" x14ac:dyDescent="0.2">
      <c r="Y125" s="44"/>
      <c r="Z125" s="44"/>
      <c r="AA125" s="44"/>
      <c r="AC125" s="41"/>
      <c r="AD125" s="41"/>
      <c r="AE125" s="41"/>
      <c r="AF125" s="41"/>
      <c r="AG125" s="41"/>
      <c r="AH125" s="44"/>
      <c r="AI125" s="44"/>
      <c r="AJ125" s="44"/>
    </row>
    <row r="126" spans="25:36" x14ac:dyDescent="0.2">
      <c r="Y126" s="44"/>
      <c r="Z126" s="44"/>
      <c r="AA126" s="44"/>
      <c r="AC126" s="41"/>
      <c r="AD126" s="41"/>
      <c r="AE126" s="41"/>
      <c r="AF126" s="41"/>
      <c r="AG126" s="41"/>
      <c r="AH126" s="44"/>
      <c r="AI126" s="44"/>
      <c r="AJ126" s="44"/>
    </row>
    <row r="127" spans="25:36" x14ac:dyDescent="0.2">
      <c r="Y127" s="44"/>
      <c r="Z127" s="44"/>
      <c r="AA127" s="44"/>
      <c r="AC127" s="41"/>
      <c r="AD127" s="41"/>
      <c r="AE127" s="41"/>
      <c r="AF127" s="41"/>
      <c r="AG127" s="41"/>
      <c r="AH127" s="44"/>
      <c r="AI127" s="44"/>
      <c r="AJ127" s="44"/>
    </row>
    <row r="128" spans="25:36" s="1" customFormat="1" x14ac:dyDescent="0.2">
      <c r="Y128" s="34"/>
      <c r="Z128" s="34"/>
      <c r="AA128" s="34"/>
      <c r="AH128" s="34"/>
      <c r="AI128" s="34"/>
      <c r="AJ128" s="34"/>
    </row>
    <row r="129" spans="11:36" x14ac:dyDescent="0.2">
      <c r="Y129" s="44"/>
      <c r="Z129" s="44"/>
      <c r="AA129" s="44"/>
      <c r="AC129" s="41"/>
      <c r="AD129" s="41"/>
      <c r="AE129" s="41"/>
      <c r="AF129" s="41"/>
      <c r="AG129" s="41"/>
      <c r="AH129" s="44"/>
      <c r="AI129" s="44"/>
      <c r="AJ129" s="44"/>
    </row>
    <row r="130" spans="11:36" x14ac:dyDescent="0.2">
      <c r="Y130" s="44"/>
      <c r="Z130" s="44"/>
      <c r="AA130" s="44"/>
      <c r="AC130" s="41"/>
      <c r="AD130" s="41"/>
      <c r="AE130" s="41"/>
      <c r="AF130" s="41"/>
      <c r="AG130" s="41"/>
      <c r="AH130" s="44"/>
      <c r="AI130" s="44"/>
      <c r="AJ130" s="44"/>
    </row>
    <row r="131" spans="11:36" x14ac:dyDescent="0.2">
      <c r="Y131" s="44"/>
      <c r="Z131" s="44"/>
      <c r="AA131" s="44"/>
      <c r="AC131" s="41"/>
      <c r="AD131" s="41"/>
      <c r="AE131" s="41"/>
      <c r="AF131" s="41"/>
      <c r="AG131" s="41"/>
      <c r="AH131" s="44"/>
      <c r="AI131" s="44"/>
      <c r="AJ131" s="44"/>
    </row>
    <row r="132" spans="11:36" x14ac:dyDescent="0.2">
      <c r="Y132" s="44"/>
      <c r="Z132" s="44"/>
      <c r="AA132" s="44"/>
      <c r="AC132" s="41"/>
      <c r="AD132" s="41"/>
      <c r="AE132" s="41"/>
      <c r="AF132" s="41"/>
      <c r="AG132" s="41"/>
      <c r="AH132" s="44"/>
      <c r="AI132" s="44"/>
      <c r="AJ132" s="44"/>
    </row>
    <row r="133" spans="11:36" x14ac:dyDescent="0.2">
      <c r="Y133" s="44"/>
      <c r="Z133" s="44"/>
      <c r="AA133" s="44"/>
      <c r="AC133" s="41"/>
      <c r="AD133" s="41"/>
      <c r="AE133" s="41"/>
      <c r="AF133" s="41"/>
      <c r="AG133" s="41"/>
      <c r="AH133" s="44"/>
      <c r="AI133" s="44"/>
      <c r="AJ133" s="44"/>
    </row>
    <row r="134" spans="11:36" x14ac:dyDescent="0.2">
      <c r="Y134" s="44"/>
      <c r="Z134" s="44"/>
      <c r="AA134" s="44"/>
      <c r="AC134" s="41"/>
      <c r="AD134" s="41"/>
      <c r="AE134" s="41"/>
      <c r="AF134" s="41"/>
      <c r="AG134" s="41"/>
      <c r="AH134" s="44"/>
      <c r="AI134" s="44"/>
      <c r="AJ134" s="44"/>
    </row>
    <row r="135" spans="11:36" x14ac:dyDescent="0.2">
      <c r="Y135" s="44"/>
      <c r="Z135" s="44"/>
      <c r="AA135" s="44"/>
      <c r="AC135" s="41"/>
      <c r="AD135" s="41"/>
      <c r="AE135" s="41"/>
      <c r="AF135" s="41"/>
      <c r="AG135" s="41"/>
      <c r="AH135" s="44"/>
      <c r="AI135" s="44"/>
      <c r="AJ135" s="44"/>
    </row>
    <row r="136" spans="11:36" x14ac:dyDescent="0.2">
      <c r="Y136" s="44"/>
      <c r="Z136" s="44"/>
      <c r="AA136" s="44"/>
      <c r="AC136" s="41"/>
      <c r="AD136" s="41"/>
      <c r="AE136" s="41"/>
      <c r="AF136" s="41"/>
      <c r="AG136" s="41"/>
      <c r="AH136" s="44"/>
      <c r="AI136" s="44"/>
      <c r="AJ136" s="44"/>
    </row>
    <row r="137" spans="11:36" x14ac:dyDescent="0.2">
      <c r="Y137" s="44"/>
      <c r="Z137" s="44"/>
      <c r="AA137" s="44"/>
      <c r="AC137" s="41"/>
      <c r="AD137" s="41"/>
      <c r="AE137" s="41"/>
      <c r="AF137" s="41"/>
      <c r="AG137" s="41"/>
      <c r="AH137" s="44"/>
      <c r="AI137" s="44"/>
      <c r="AJ137" s="44"/>
    </row>
    <row r="138" spans="11:36" x14ac:dyDescent="0.2">
      <c r="Y138" s="44"/>
      <c r="Z138" s="44"/>
      <c r="AA138" s="44"/>
      <c r="AC138" s="41"/>
      <c r="AD138" s="41"/>
      <c r="AE138" s="41"/>
      <c r="AF138" s="41"/>
      <c r="AG138" s="41"/>
      <c r="AH138" s="44"/>
      <c r="AI138" s="44"/>
      <c r="AJ138" s="44"/>
    </row>
    <row r="139" spans="11:36" x14ac:dyDescent="0.2">
      <c r="Y139" s="44"/>
      <c r="Z139" s="44"/>
      <c r="AA139" s="44"/>
      <c r="AC139" s="41"/>
      <c r="AD139" s="41"/>
      <c r="AE139" s="41"/>
      <c r="AF139" s="41"/>
      <c r="AG139" s="41"/>
      <c r="AH139" s="44"/>
      <c r="AI139" s="44"/>
      <c r="AJ139" s="44"/>
    </row>
    <row r="140" spans="11:36" s="1" customFormat="1" x14ac:dyDescent="0.2">
      <c r="Y140" s="34"/>
      <c r="Z140" s="34"/>
      <c r="AA140" s="34"/>
      <c r="AH140" s="34"/>
      <c r="AI140" s="34"/>
      <c r="AJ140" s="34"/>
    </row>
    <row r="141" spans="11:36" x14ac:dyDescent="0.2">
      <c r="Y141" s="44"/>
      <c r="Z141" s="44"/>
      <c r="AA141" s="44"/>
      <c r="AC141" s="41"/>
      <c r="AD141" s="41"/>
      <c r="AE141" s="41"/>
      <c r="AF141" s="41"/>
      <c r="AG141" s="41"/>
      <c r="AH141" s="44"/>
      <c r="AI141" s="44"/>
      <c r="AJ141" s="44"/>
    </row>
    <row r="142" spans="11:36" x14ac:dyDescent="0.2">
      <c r="K142" s="41"/>
      <c r="L142" s="41"/>
      <c r="M142" s="41"/>
      <c r="N142" s="41"/>
      <c r="O142" s="41"/>
      <c r="P142" s="44"/>
      <c r="Q142" s="44"/>
      <c r="R142" s="44"/>
      <c r="T142" s="41"/>
      <c r="U142" s="41"/>
      <c r="V142" s="41"/>
      <c r="W142" s="41"/>
      <c r="X142" s="41"/>
      <c r="Y142" s="44"/>
      <c r="Z142" s="44"/>
      <c r="AA142" s="44"/>
      <c r="AC142" s="41"/>
      <c r="AD142" s="41"/>
      <c r="AE142" s="41"/>
      <c r="AF142" s="41"/>
      <c r="AG142" s="41"/>
      <c r="AH142" s="44"/>
      <c r="AI142" s="44"/>
      <c r="AJ142" s="44"/>
    </row>
    <row r="143" spans="11:36" x14ac:dyDescent="0.2">
      <c r="K143" s="41"/>
      <c r="L143" s="41"/>
      <c r="M143" s="41"/>
      <c r="N143" s="41"/>
      <c r="O143" s="41"/>
      <c r="P143" s="44"/>
      <c r="Q143" s="44"/>
      <c r="R143" s="44"/>
      <c r="T143" s="41"/>
      <c r="U143" s="41"/>
      <c r="V143" s="41"/>
      <c r="W143" s="41"/>
      <c r="X143" s="41"/>
      <c r="Y143" s="44"/>
      <c r="Z143" s="44"/>
      <c r="AA143" s="44"/>
      <c r="AC143" s="41"/>
      <c r="AD143" s="41"/>
      <c r="AE143" s="41"/>
      <c r="AF143" s="41"/>
      <c r="AG143" s="41"/>
      <c r="AH143" s="44"/>
      <c r="AI143" s="44"/>
      <c r="AJ143" s="44"/>
    </row>
    <row r="144" spans="11:36" x14ac:dyDescent="0.2">
      <c r="K144" s="41"/>
      <c r="L144" s="41"/>
      <c r="M144" s="41"/>
      <c r="N144" s="41"/>
      <c r="O144" s="41"/>
      <c r="P144" s="44"/>
      <c r="Q144" s="44"/>
      <c r="R144" s="44"/>
      <c r="T144" s="41"/>
      <c r="U144" s="41"/>
      <c r="V144" s="41"/>
      <c r="W144" s="41"/>
      <c r="X144" s="41"/>
      <c r="Y144" s="44"/>
      <c r="Z144" s="44"/>
      <c r="AA144" s="44"/>
      <c r="AC144" s="41"/>
      <c r="AD144" s="41"/>
      <c r="AE144" s="41"/>
      <c r="AF144" s="41"/>
      <c r="AG144" s="41"/>
      <c r="AH144" s="44"/>
      <c r="AI144" s="44"/>
      <c r="AJ144" s="44"/>
    </row>
    <row r="145" spans="11:36" x14ac:dyDescent="0.2">
      <c r="K145" s="41"/>
      <c r="L145" s="41"/>
      <c r="M145" s="41"/>
      <c r="N145" s="41"/>
      <c r="O145" s="41"/>
      <c r="P145" s="44"/>
      <c r="Q145" s="44"/>
      <c r="R145" s="44"/>
      <c r="T145" s="41"/>
      <c r="U145" s="41"/>
      <c r="V145" s="41"/>
      <c r="W145" s="41"/>
      <c r="X145" s="41"/>
      <c r="Y145" s="44"/>
      <c r="Z145" s="44"/>
      <c r="AA145" s="44"/>
      <c r="AC145" s="41"/>
      <c r="AD145" s="41"/>
      <c r="AE145" s="41"/>
      <c r="AF145" s="41"/>
      <c r="AG145" s="41"/>
      <c r="AH145" s="44"/>
      <c r="AI145" s="44"/>
      <c r="AJ145" s="44"/>
    </row>
    <row r="146" spans="11:36" x14ac:dyDescent="0.2">
      <c r="K146" s="41"/>
      <c r="L146" s="41"/>
      <c r="M146" s="41"/>
      <c r="N146" s="41"/>
      <c r="O146" s="41"/>
      <c r="P146" s="44"/>
      <c r="Q146" s="44"/>
      <c r="R146" s="44"/>
      <c r="T146" s="41"/>
      <c r="U146" s="41"/>
      <c r="V146" s="41"/>
      <c r="W146" s="41"/>
      <c r="X146" s="41"/>
      <c r="Y146" s="44"/>
      <c r="Z146" s="44"/>
      <c r="AA146" s="44"/>
      <c r="AC146" s="41"/>
      <c r="AD146" s="41"/>
      <c r="AE146" s="41"/>
      <c r="AF146" s="41"/>
      <c r="AG146" s="41"/>
      <c r="AH146" s="44"/>
      <c r="AI146" s="44"/>
      <c r="AJ146" s="44"/>
    </row>
    <row r="147" spans="11:36" x14ac:dyDescent="0.2">
      <c r="K147" s="41"/>
      <c r="L147" s="41"/>
      <c r="M147" s="41"/>
      <c r="N147" s="41"/>
      <c r="O147" s="41"/>
      <c r="P147" s="44"/>
      <c r="Q147" s="44"/>
      <c r="R147" s="44"/>
      <c r="T147" s="41"/>
      <c r="U147" s="41"/>
      <c r="V147" s="41"/>
      <c r="W147" s="41"/>
      <c r="X147" s="41"/>
      <c r="Y147" s="44"/>
      <c r="Z147" s="44"/>
      <c r="AA147" s="44"/>
      <c r="AC147" s="41"/>
      <c r="AD147" s="41"/>
      <c r="AE147" s="41"/>
      <c r="AF147" s="41"/>
      <c r="AG147" s="41"/>
      <c r="AH147" s="44"/>
      <c r="AI147" s="44"/>
      <c r="AJ147" s="44"/>
    </row>
    <row r="148" spans="11:36" x14ac:dyDescent="0.2">
      <c r="K148" s="41"/>
      <c r="L148" s="41"/>
      <c r="M148" s="41"/>
      <c r="N148" s="41"/>
      <c r="O148" s="41"/>
      <c r="P148" s="44"/>
      <c r="Q148" s="44"/>
      <c r="R148" s="44"/>
      <c r="T148" s="41"/>
      <c r="U148" s="41"/>
      <c r="V148" s="41"/>
      <c r="W148" s="41"/>
      <c r="X148" s="41"/>
      <c r="Y148" s="44"/>
      <c r="Z148" s="44"/>
      <c r="AA148" s="44"/>
      <c r="AC148" s="41"/>
      <c r="AD148" s="41"/>
      <c r="AE148" s="41"/>
      <c r="AF148" s="41"/>
      <c r="AG148" s="41"/>
      <c r="AH148" s="44"/>
      <c r="AI148" s="44"/>
      <c r="AJ148" s="44"/>
    </row>
    <row r="149" spans="11:36" x14ac:dyDescent="0.2">
      <c r="K149" s="41"/>
      <c r="L149" s="41"/>
      <c r="M149" s="41"/>
      <c r="N149" s="41"/>
      <c r="O149" s="41"/>
      <c r="P149" s="44"/>
      <c r="Q149" s="44"/>
      <c r="R149" s="44"/>
      <c r="T149" s="41"/>
      <c r="U149" s="41"/>
      <c r="V149" s="41"/>
      <c r="W149" s="41"/>
      <c r="X149" s="41"/>
      <c r="Y149" s="44"/>
      <c r="Z149" s="44"/>
      <c r="AA149" s="44"/>
      <c r="AC149" s="41"/>
      <c r="AD149" s="41"/>
      <c r="AE149" s="41"/>
      <c r="AF149" s="41"/>
      <c r="AG149" s="41"/>
      <c r="AH149" s="44"/>
      <c r="AI149" s="44"/>
      <c r="AJ149" s="44"/>
    </row>
    <row r="150" spans="11:36" x14ac:dyDescent="0.2">
      <c r="K150" s="41"/>
      <c r="L150" s="41"/>
      <c r="M150" s="41"/>
      <c r="N150" s="41"/>
      <c r="O150" s="41"/>
      <c r="P150" s="44"/>
      <c r="Q150" s="44"/>
      <c r="R150" s="44"/>
      <c r="T150" s="41"/>
      <c r="U150" s="41"/>
      <c r="V150" s="41"/>
      <c r="W150" s="41"/>
      <c r="X150" s="41"/>
      <c r="Y150" s="44"/>
      <c r="Z150" s="44"/>
      <c r="AA150" s="44"/>
      <c r="AC150" s="41"/>
      <c r="AD150" s="41"/>
      <c r="AE150" s="41"/>
      <c r="AF150" s="41"/>
      <c r="AG150" s="41"/>
      <c r="AH150" s="44"/>
      <c r="AI150" s="44"/>
      <c r="AJ150" s="44"/>
    </row>
    <row r="151" spans="11:36" x14ac:dyDescent="0.2">
      <c r="K151" s="41"/>
      <c r="L151" s="41"/>
      <c r="M151" s="41"/>
      <c r="N151" s="41"/>
      <c r="O151" s="41"/>
      <c r="P151" s="44"/>
      <c r="Q151" s="44"/>
      <c r="R151" s="44"/>
      <c r="T151" s="41"/>
      <c r="U151" s="41"/>
      <c r="V151" s="41"/>
      <c r="W151" s="41"/>
      <c r="X151" s="41"/>
      <c r="Y151" s="44"/>
      <c r="Z151" s="44"/>
      <c r="AA151" s="44"/>
      <c r="AC151" s="41"/>
      <c r="AD151" s="41"/>
      <c r="AE151" s="41"/>
      <c r="AF151" s="41"/>
      <c r="AG151" s="41"/>
      <c r="AH151" s="44"/>
      <c r="AI151" s="44"/>
      <c r="AJ151" s="44"/>
    </row>
    <row r="152" spans="11:36" x14ac:dyDescent="0.2">
      <c r="K152" s="41"/>
      <c r="L152" s="41"/>
      <c r="M152" s="41"/>
      <c r="N152" s="41"/>
      <c r="O152" s="41"/>
      <c r="P152" s="44"/>
      <c r="Q152" s="44"/>
      <c r="R152" s="44"/>
      <c r="T152" s="41"/>
      <c r="U152" s="41"/>
      <c r="V152" s="41"/>
      <c r="W152" s="41"/>
      <c r="X152" s="41"/>
      <c r="Y152" s="44"/>
      <c r="Z152" s="44"/>
      <c r="AA152" s="44"/>
      <c r="AC152" s="41"/>
      <c r="AD152" s="41"/>
      <c r="AE152" s="41"/>
      <c r="AF152" s="41"/>
      <c r="AG152" s="41"/>
      <c r="AH152" s="44"/>
      <c r="AI152" s="44"/>
      <c r="AJ152" s="44"/>
    </row>
    <row r="153" spans="11:36" x14ac:dyDescent="0.2">
      <c r="K153" s="41"/>
      <c r="L153" s="41"/>
      <c r="M153" s="41"/>
      <c r="N153" s="41"/>
      <c r="O153" s="41"/>
      <c r="P153" s="44"/>
      <c r="Q153" s="44"/>
      <c r="R153" s="44"/>
      <c r="T153" s="41"/>
      <c r="U153" s="41"/>
      <c r="V153" s="41"/>
      <c r="W153" s="41"/>
      <c r="X153" s="41"/>
      <c r="Y153" s="44"/>
      <c r="Z153" s="44"/>
      <c r="AA153" s="44"/>
      <c r="AC153" s="41"/>
      <c r="AD153" s="41"/>
      <c r="AE153" s="41"/>
      <c r="AF153" s="41"/>
      <c r="AG153" s="41"/>
      <c r="AH153" s="44"/>
      <c r="AI153" s="44"/>
      <c r="AJ153" s="44"/>
    </row>
    <row r="154" spans="11:36" x14ac:dyDescent="0.2">
      <c r="K154" s="41"/>
      <c r="L154" s="41"/>
      <c r="M154" s="41"/>
      <c r="N154" s="41"/>
      <c r="O154" s="41"/>
      <c r="P154" s="44"/>
      <c r="Q154" s="44"/>
      <c r="R154" s="44"/>
      <c r="T154" s="41"/>
      <c r="U154" s="41"/>
      <c r="V154" s="41"/>
      <c r="W154" s="41"/>
      <c r="X154" s="41"/>
      <c r="Y154" s="44"/>
      <c r="Z154" s="44"/>
      <c r="AA154" s="44"/>
      <c r="AC154" s="41"/>
      <c r="AD154" s="41"/>
      <c r="AE154" s="41"/>
      <c r="AF154" s="41"/>
      <c r="AG154" s="41"/>
      <c r="AH154" s="44"/>
      <c r="AI154" s="44"/>
      <c r="AJ154" s="44"/>
    </row>
    <row r="155" spans="11:36" x14ac:dyDescent="0.2">
      <c r="K155" s="41"/>
      <c r="L155" s="41"/>
      <c r="M155" s="41"/>
      <c r="N155" s="41"/>
      <c r="O155" s="41"/>
      <c r="P155" s="44"/>
      <c r="Q155" s="44"/>
      <c r="R155" s="44"/>
      <c r="T155" s="41"/>
      <c r="U155" s="41"/>
      <c r="V155" s="41"/>
      <c r="W155" s="41"/>
      <c r="X155" s="41"/>
      <c r="Y155" s="44"/>
      <c r="Z155" s="44"/>
      <c r="AA155" s="44"/>
      <c r="AC155" s="41"/>
      <c r="AD155" s="41"/>
      <c r="AE155" s="41"/>
      <c r="AF155" s="41"/>
      <c r="AG155" s="41"/>
      <c r="AH155" s="44"/>
      <c r="AI155" s="44"/>
      <c r="AJ155" s="44"/>
    </row>
    <row r="156" spans="11:36" x14ac:dyDescent="0.2">
      <c r="K156" s="41"/>
      <c r="L156" s="41"/>
      <c r="M156" s="41"/>
      <c r="N156" s="41"/>
      <c r="O156" s="41"/>
      <c r="P156" s="44"/>
      <c r="Q156" s="44"/>
      <c r="R156" s="44"/>
      <c r="T156" s="41"/>
      <c r="U156" s="41"/>
      <c r="V156" s="41"/>
      <c r="W156" s="41"/>
      <c r="X156" s="41"/>
      <c r="Y156" s="44"/>
      <c r="Z156" s="44"/>
      <c r="AA156" s="44"/>
      <c r="AC156" s="41"/>
      <c r="AD156" s="41"/>
      <c r="AE156" s="41"/>
      <c r="AF156" s="41"/>
      <c r="AG156" s="41"/>
      <c r="AH156" s="44"/>
      <c r="AI156" s="44"/>
      <c r="AJ156" s="44"/>
    </row>
    <row r="157" spans="11:36" x14ac:dyDescent="0.2">
      <c r="K157" s="41"/>
      <c r="L157" s="41"/>
      <c r="M157" s="41"/>
      <c r="N157" s="41"/>
      <c r="O157" s="41"/>
      <c r="P157" s="44"/>
      <c r="Q157" s="44"/>
      <c r="R157" s="44"/>
      <c r="T157" s="41"/>
      <c r="U157" s="41"/>
      <c r="V157" s="41"/>
      <c r="W157" s="41"/>
      <c r="X157" s="41"/>
      <c r="Y157" s="44"/>
      <c r="Z157" s="44"/>
      <c r="AA157" s="44"/>
      <c r="AC157" s="41"/>
      <c r="AD157" s="41"/>
      <c r="AE157" s="41"/>
      <c r="AF157" s="41"/>
      <c r="AG157" s="41"/>
      <c r="AH157" s="44"/>
      <c r="AI157" s="44"/>
      <c r="AJ157" s="44"/>
    </row>
    <row r="158" spans="11:36" x14ac:dyDescent="0.2">
      <c r="K158" s="41"/>
      <c r="L158" s="41"/>
      <c r="M158" s="41"/>
      <c r="N158" s="41"/>
      <c r="O158" s="41"/>
      <c r="P158" s="44"/>
      <c r="Q158" s="44"/>
      <c r="R158" s="44"/>
      <c r="T158" s="41"/>
      <c r="U158" s="41"/>
      <c r="V158" s="41"/>
      <c r="W158" s="41"/>
      <c r="X158" s="41"/>
      <c r="Y158" s="44"/>
      <c r="Z158" s="44"/>
      <c r="AA158" s="44"/>
      <c r="AC158" s="41"/>
      <c r="AD158" s="41"/>
      <c r="AE158" s="41"/>
      <c r="AF158" s="41"/>
      <c r="AG158" s="41"/>
      <c r="AH158" s="44"/>
      <c r="AI158" s="44"/>
      <c r="AJ158" s="44"/>
    </row>
    <row r="159" spans="11:36" x14ac:dyDescent="0.2">
      <c r="K159" s="41"/>
      <c r="L159" s="41"/>
      <c r="M159" s="41"/>
      <c r="N159" s="41"/>
      <c r="O159" s="41"/>
      <c r="P159" s="44"/>
      <c r="Q159" s="44"/>
      <c r="R159" s="44"/>
      <c r="T159" s="41"/>
      <c r="U159" s="41"/>
      <c r="V159" s="41"/>
      <c r="W159" s="41"/>
      <c r="X159" s="41"/>
      <c r="Y159" s="44"/>
      <c r="Z159" s="44"/>
      <c r="AA159" s="44"/>
      <c r="AC159" s="41"/>
      <c r="AD159" s="41"/>
      <c r="AE159" s="41"/>
      <c r="AF159" s="41"/>
      <c r="AG159" s="41"/>
      <c r="AH159" s="44"/>
      <c r="AI159" s="44"/>
      <c r="AJ159" s="44"/>
    </row>
    <row r="160" spans="11:36" x14ac:dyDescent="0.2">
      <c r="K160" s="41"/>
      <c r="L160" s="41"/>
      <c r="M160" s="41"/>
      <c r="N160" s="41"/>
      <c r="O160" s="41"/>
      <c r="P160" s="44"/>
      <c r="Q160" s="44"/>
      <c r="R160" s="44"/>
      <c r="T160" s="41"/>
      <c r="U160" s="41"/>
      <c r="V160" s="41"/>
      <c r="W160" s="41"/>
      <c r="X160" s="41"/>
      <c r="Y160" s="44"/>
      <c r="Z160" s="44"/>
      <c r="AA160" s="44"/>
      <c r="AC160" s="41"/>
      <c r="AD160" s="41"/>
      <c r="AE160" s="41"/>
      <c r="AF160" s="41"/>
      <c r="AG160" s="41"/>
      <c r="AH160" s="44"/>
      <c r="AI160" s="44"/>
      <c r="AJ160" s="44"/>
    </row>
    <row r="161" spans="11:36" x14ac:dyDescent="0.2">
      <c r="K161" s="41"/>
      <c r="L161" s="41"/>
      <c r="M161" s="41"/>
      <c r="N161" s="41"/>
      <c r="O161" s="41"/>
      <c r="P161" s="44"/>
      <c r="Q161" s="44"/>
      <c r="R161" s="44"/>
      <c r="T161" s="41"/>
      <c r="U161" s="41"/>
      <c r="V161" s="41"/>
      <c r="W161" s="41"/>
      <c r="X161" s="41"/>
      <c r="Y161" s="44"/>
      <c r="Z161" s="44"/>
      <c r="AA161" s="44"/>
      <c r="AC161" s="41"/>
      <c r="AD161" s="41"/>
      <c r="AE161" s="41"/>
      <c r="AF161" s="41"/>
      <c r="AG161" s="41"/>
      <c r="AH161" s="44"/>
      <c r="AI161" s="44"/>
      <c r="AJ161" s="44"/>
    </row>
    <row r="162" spans="11:36" x14ac:dyDescent="0.2">
      <c r="K162" s="41"/>
      <c r="L162" s="41"/>
      <c r="M162" s="41"/>
      <c r="N162" s="41"/>
      <c r="O162" s="41"/>
      <c r="P162" s="44"/>
      <c r="Q162" s="44"/>
      <c r="R162" s="44"/>
      <c r="T162" s="41"/>
      <c r="U162" s="41"/>
      <c r="V162" s="41"/>
      <c r="W162" s="41"/>
      <c r="X162" s="41"/>
      <c r="Y162" s="44"/>
      <c r="Z162" s="44"/>
      <c r="AA162" s="44"/>
      <c r="AC162" s="41"/>
      <c r="AD162" s="41"/>
      <c r="AE162" s="41"/>
      <c r="AF162" s="41"/>
      <c r="AG162" s="41"/>
      <c r="AH162" s="44"/>
      <c r="AI162" s="44"/>
      <c r="AJ162" s="44"/>
    </row>
    <row r="163" spans="11:36" x14ac:dyDescent="0.2">
      <c r="K163" s="41"/>
      <c r="L163" s="41"/>
      <c r="M163" s="41"/>
      <c r="N163" s="41"/>
      <c r="O163" s="41"/>
      <c r="P163" s="44"/>
      <c r="Q163" s="44"/>
      <c r="R163" s="44"/>
      <c r="T163" s="41"/>
      <c r="U163" s="41"/>
      <c r="V163" s="41"/>
      <c r="W163" s="41"/>
      <c r="X163" s="41"/>
      <c r="Y163" s="44"/>
      <c r="Z163" s="44"/>
      <c r="AA163" s="44"/>
      <c r="AC163" s="41"/>
      <c r="AD163" s="41"/>
      <c r="AE163" s="41"/>
      <c r="AF163" s="41"/>
      <c r="AG163" s="41"/>
      <c r="AH163" s="44"/>
      <c r="AI163" s="44"/>
      <c r="AJ163" s="44"/>
    </row>
    <row r="164" spans="11:36" x14ac:dyDescent="0.2">
      <c r="K164" s="41"/>
      <c r="L164" s="41"/>
      <c r="M164" s="41"/>
      <c r="N164" s="41"/>
      <c r="O164" s="41"/>
      <c r="P164" s="44"/>
      <c r="Q164" s="44"/>
      <c r="R164" s="44"/>
      <c r="T164" s="41"/>
      <c r="U164" s="41"/>
      <c r="V164" s="41"/>
      <c r="W164" s="41"/>
      <c r="X164" s="41"/>
      <c r="Y164" s="44"/>
      <c r="Z164" s="44"/>
      <c r="AA164" s="44"/>
      <c r="AC164" s="41"/>
      <c r="AD164" s="41"/>
      <c r="AE164" s="41"/>
      <c r="AF164" s="41"/>
      <c r="AG164" s="41"/>
      <c r="AH164" s="44"/>
      <c r="AI164" s="44"/>
      <c r="AJ164" s="44"/>
    </row>
    <row r="165" spans="11:36" x14ac:dyDescent="0.2">
      <c r="K165" s="41"/>
      <c r="L165" s="41"/>
      <c r="M165" s="41"/>
      <c r="N165" s="41"/>
      <c r="O165" s="41"/>
      <c r="P165" s="44"/>
      <c r="Q165" s="44"/>
      <c r="R165" s="44"/>
      <c r="T165" s="41"/>
      <c r="U165" s="41"/>
      <c r="V165" s="41"/>
      <c r="W165" s="41"/>
      <c r="X165" s="41"/>
      <c r="Y165" s="44"/>
      <c r="Z165" s="44"/>
      <c r="AA165" s="44"/>
      <c r="AC165" s="41"/>
      <c r="AD165" s="41"/>
      <c r="AE165" s="41"/>
      <c r="AF165" s="41"/>
      <c r="AG165" s="41"/>
      <c r="AH165" s="44"/>
      <c r="AI165" s="44"/>
      <c r="AJ165" s="44"/>
    </row>
    <row r="166" spans="11:36" x14ac:dyDescent="0.2">
      <c r="K166" s="41"/>
      <c r="L166" s="41"/>
      <c r="M166" s="41"/>
      <c r="N166" s="41"/>
      <c r="O166" s="41"/>
      <c r="P166" s="44"/>
      <c r="Q166" s="44"/>
      <c r="R166" s="44"/>
      <c r="T166" s="41"/>
      <c r="U166" s="41"/>
      <c r="V166" s="41"/>
      <c r="W166" s="41"/>
      <c r="X166" s="41"/>
      <c r="Y166" s="44"/>
      <c r="Z166" s="44"/>
      <c r="AA166" s="44"/>
      <c r="AC166" s="41"/>
      <c r="AD166" s="41"/>
      <c r="AE166" s="41"/>
      <c r="AF166" s="41"/>
      <c r="AG166" s="41"/>
      <c r="AH166" s="44"/>
      <c r="AI166" s="44"/>
      <c r="AJ166" s="44"/>
    </row>
    <row r="167" spans="11:36" x14ac:dyDescent="0.2">
      <c r="K167" s="41"/>
      <c r="L167" s="41"/>
      <c r="M167" s="41"/>
      <c r="N167" s="41"/>
      <c r="O167" s="41"/>
      <c r="P167" s="44"/>
      <c r="Q167" s="44"/>
      <c r="R167" s="44"/>
      <c r="T167" s="41"/>
      <c r="U167" s="41"/>
      <c r="V167" s="41"/>
      <c r="W167" s="41"/>
      <c r="X167" s="41"/>
      <c r="Y167" s="44"/>
      <c r="Z167" s="44"/>
      <c r="AA167" s="44"/>
      <c r="AC167" s="41"/>
      <c r="AD167" s="41"/>
      <c r="AE167" s="41"/>
      <c r="AF167" s="41"/>
      <c r="AG167" s="41"/>
      <c r="AH167" s="44"/>
      <c r="AI167" s="44"/>
      <c r="AJ167" s="44"/>
    </row>
    <row r="168" spans="11:36" x14ac:dyDescent="0.2">
      <c r="K168" s="41"/>
      <c r="L168" s="41"/>
      <c r="M168" s="41"/>
      <c r="N168" s="41"/>
      <c r="O168" s="41"/>
      <c r="P168" s="44"/>
      <c r="Q168" s="44"/>
      <c r="R168" s="44"/>
      <c r="T168" s="41"/>
      <c r="U168" s="41"/>
      <c r="V168" s="41"/>
      <c r="W168" s="41"/>
      <c r="X168" s="41"/>
      <c r="Y168" s="44"/>
      <c r="Z168" s="44"/>
      <c r="AA168" s="44"/>
      <c r="AC168" s="41"/>
      <c r="AD168" s="41"/>
      <c r="AE168" s="41"/>
      <c r="AF168" s="41"/>
      <c r="AG168" s="41"/>
      <c r="AH168" s="44"/>
      <c r="AI168" s="44"/>
      <c r="AJ168" s="44"/>
    </row>
    <row r="169" spans="11:36" x14ac:dyDescent="0.2">
      <c r="K169" s="41"/>
      <c r="L169" s="41"/>
      <c r="M169" s="41"/>
      <c r="N169" s="41"/>
      <c r="O169" s="41"/>
      <c r="P169" s="44"/>
      <c r="Q169" s="44"/>
      <c r="R169" s="44"/>
      <c r="T169" s="41"/>
      <c r="U169" s="41"/>
      <c r="V169" s="41"/>
      <c r="W169" s="41"/>
      <c r="X169" s="41"/>
      <c r="Y169" s="44"/>
      <c r="Z169" s="44"/>
      <c r="AA169" s="44"/>
      <c r="AC169" s="41"/>
      <c r="AD169" s="41"/>
      <c r="AE169" s="41"/>
      <c r="AF169" s="41"/>
      <c r="AG169" s="41"/>
      <c r="AH169" s="44"/>
      <c r="AI169" s="44"/>
      <c r="AJ169" s="44"/>
    </row>
    <row r="170" spans="11:36" x14ac:dyDescent="0.2">
      <c r="K170" s="41"/>
      <c r="L170" s="41"/>
      <c r="M170" s="41"/>
      <c r="N170" s="41"/>
      <c r="O170" s="41"/>
      <c r="P170" s="44"/>
      <c r="Q170" s="44"/>
      <c r="R170" s="44"/>
      <c r="T170" s="41"/>
      <c r="U170" s="41"/>
      <c r="V170" s="41"/>
      <c r="W170" s="41"/>
      <c r="X170" s="41"/>
      <c r="Y170" s="44"/>
      <c r="Z170" s="44"/>
      <c r="AA170" s="44"/>
      <c r="AC170" s="41"/>
      <c r="AD170" s="41"/>
      <c r="AE170" s="41"/>
      <c r="AF170" s="41"/>
      <c r="AG170" s="41"/>
      <c r="AH170" s="44"/>
      <c r="AI170" s="44"/>
      <c r="AJ170" s="44"/>
    </row>
    <row r="171" spans="11:36" x14ac:dyDescent="0.2">
      <c r="K171" s="41"/>
      <c r="L171" s="41"/>
      <c r="M171" s="41"/>
      <c r="N171" s="41"/>
      <c r="O171" s="41"/>
      <c r="P171" s="44"/>
      <c r="Q171" s="44"/>
      <c r="R171" s="44"/>
      <c r="T171" s="41"/>
      <c r="U171" s="41"/>
      <c r="V171" s="41"/>
      <c r="W171" s="41"/>
      <c r="X171" s="41"/>
      <c r="Y171" s="44"/>
      <c r="Z171" s="44"/>
      <c r="AA171" s="44"/>
      <c r="AC171" s="41"/>
      <c r="AD171" s="41"/>
      <c r="AE171" s="41"/>
      <c r="AF171" s="41"/>
      <c r="AG171" s="41"/>
      <c r="AH171" s="44"/>
      <c r="AI171" s="44"/>
      <c r="AJ171" s="44"/>
    </row>
    <row r="172" spans="11:36" x14ac:dyDescent="0.2">
      <c r="K172" s="41"/>
      <c r="L172" s="41"/>
      <c r="M172" s="41"/>
      <c r="N172" s="41"/>
      <c r="O172" s="41"/>
      <c r="P172" s="44"/>
      <c r="Q172" s="44"/>
      <c r="R172" s="44"/>
      <c r="T172" s="41"/>
      <c r="U172" s="41"/>
      <c r="V172" s="41"/>
      <c r="W172" s="41"/>
      <c r="X172" s="41"/>
      <c r="Y172" s="44"/>
      <c r="Z172" s="44"/>
      <c r="AA172" s="44"/>
      <c r="AC172" s="41"/>
      <c r="AD172" s="41"/>
      <c r="AE172" s="41"/>
      <c r="AF172" s="41"/>
      <c r="AG172" s="41"/>
      <c r="AH172" s="44"/>
      <c r="AI172" s="44"/>
      <c r="AJ172" s="44"/>
    </row>
    <row r="173" spans="11:36" x14ac:dyDescent="0.2">
      <c r="K173" s="41"/>
      <c r="L173" s="41"/>
      <c r="M173" s="41"/>
      <c r="N173" s="41"/>
      <c r="O173" s="41"/>
      <c r="P173" s="44"/>
      <c r="Q173" s="44"/>
      <c r="R173" s="44"/>
      <c r="T173" s="41"/>
      <c r="U173" s="41"/>
      <c r="V173" s="41"/>
      <c r="W173" s="41"/>
      <c r="X173" s="41"/>
      <c r="Y173" s="44"/>
      <c r="Z173" s="44"/>
      <c r="AA173" s="44"/>
      <c r="AC173" s="41"/>
      <c r="AD173" s="41"/>
      <c r="AE173" s="41"/>
      <c r="AF173" s="41"/>
      <c r="AG173" s="41"/>
      <c r="AH173" s="44"/>
      <c r="AI173" s="44"/>
      <c r="AJ173" s="44"/>
    </row>
    <row r="174" spans="11:36" x14ac:dyDescent="0.2">
      <c r="K174" s="41"/>
      <c r="L174" s="41"/>
      <c r="M174" s="41"/>
      <c r="N174" s="41"/>
      <c r="O174" s="41"/>
      <c r="P174" s="44"/>
      <c r="Q174" s="44"/>
      <c r="R174" s="44"/>
      <c r="T174" s="41"/>
      <c r="U174" s="41"/>
      <c r="V174" s="41"/>
      <c r="W174" s="41"/>
      <c r="X174" s="41"/>
      <c r="Y174" s="44"/>
      <c r="Z174" s="44"/>
      <c r="AA174" s="44"/>
      <c r="AC174" s="41"/>
      <c r="AD174" s="41"/>
      <c r="AE174" s="41"/>
      <c r="AF174" s="41"/>
      <c r="AG174" s="41"/>
      <c r="AH174" s="44"/>
      <c r="AI174" s="44"/>
      <c r="AJ174" s="44"/>
    </row>
    <row r="175" spans="11:36" x14ac:dyDescent="0.2">
      <c r="K175" s="41"/>
      <c r="L175" s="41"/>
      <c r="M175" s="41"/>
      <c r="N175" s="41"/>
      <c r="O175" s="41"/>
      <c r="P175" s="44"/>
      <c r="Q175" s="44"/>
      <c r="R175" s="44"/>
      <c r="T175" s="41"/>
      <c r="U175" s="41"/>
      <c r="V175" s="41"/>
      <c r="W175" s="41"/>
      <c r="X175" s="41"/>
      <c r="Y175" s="44"/>
      <c r="Z175" s="44"/>
      <c r="AA175" s="44"/>
      <c r="AC175" s="41"/>
      <c r="AD175" s="41"/>
      <c r="AE175" s="41"/>
      <c r="AF175" s="41"/>
      <c r="AG175" s="41"/>
      <c r="AH175" s="44"/>
      <c r="AI175" s="44"/>
      <c r="AJ175" s="44"/>
    </row>
    <row r="176" spans="11:36" x14ac:dyDescent="0.2">
      <c r="K176" s="41"/>
      <c r="L176" s="41"/>
      <c r="M176" s="41"/>
      <c r="N176" s="41"/>
      <c r="O176" s="41"/>
      <c r="P176" s="44"/>
      <c r="Q176" s="44"/>
      <c r="R176" s="44"/>
      <c r="T176" s="41"/>
      <c r="U176" s="41"/>
      <c r="V176" s="41"/>
      <c r="W176" s="41"/>
      <c r="X176" s="41"/>
      <c r="Y176" s="44"/>
      <c r="Z176" s="44"/>
      <c r="AA176" s="44"/>
      <c r="AC176" s="41"/>
      <c r="AD176" s="41"/>
      <c r="AE176" s="41"/>
      <c r="AF176" s="41"/>
      <c r="AG176" s="41"/>
      <c r="AH176" s="44"/>
      <c r="AI176" s="44"/>
      <c r="AJ176" s="44"/>
    </row>
    <row r="177" spans="11:36" x14ac:dyDescent="0.2">
      <c r="K177" s="41"/>
      <c r="L177" s="41"/>
      <c r="M177" s="41"/>
      <c r="N177" s="41"/>
      <c r="O177" s="41"/>
      <c r="P177" s="44"/>
      <c r="Q177" s="44"/>
      <c r="R177" s="44"/>
      <c r="T177" s="41"/>
      <c r="U177" s="41"/>
      <c r="V177" s="41"/>
      <c r="W177" s="41"/>
      <c r="X177" s="41"/>
      <c r="Y177" s="44"/>
      <c r="Z177" s="44"/>
      <c r="AA177" s="44"/>
      <c r="AC177" s="41"/>
      <c r="AD177" s="41"/>
      <c r="AE177" s="41"/>
      <c r="AF177" s="41"/>
      <c r="AG177" s="41"/>
      <c r="AH177" s="44"/>
      <c r="AI177" s="44"/>
      <c r="AJ177" s="44"/>
    </row>
    <row r="178" spans="11:36" x14ac:dyDescent="0.2">
      <c r="K178" s="41"/>
      <c r="L178" s="41"/>
      <c r="M178" s="41"/>
      <c r="N178" s="41"/>
      <c r="O178" s="41"/>
      <c r="P178" s="44"/>
      <c r="Q178" s="44"/>
      <c r="R178" s="44"/>
      <c r="T178" s="41"/>
      <c r="U178" s="41"/>
      <c r="V178" s="41"/>
      <c r="W178" s="41"/>
      <c r="X178" s="41"/>
      <c r="Y178" s="44"/>
      <c r="Z178" s="44"/>
      <c r="AA178" s="44"/>
      <c r="AC178" s="41"/>
      <c r="AD178" s="41"/>
      <c r="AE178" s="41"/>
      <c r="AF178" s="41"/>
      <c r="AG178" s="41"/>
      <c r="AH178" s="44"/>
      <c r="AI178" s="44"/>
      <c r="AJ178" s="44"/>
    </row>
    <row r="179" spans="11:36" x14ac:dyDescent="0.2">
      <c r="K179" s="41"/>
      <c r="L179" s="41"/>
      <c r="M179" s="41"/>
      <c r="N179" s="41"/>
      <c r="O179" s="41"/>
      <c r="P179" s="44"/>
      <c r="Q179" s="44"/>
      <c r="R179" s="44"/>
      <c r="T179" s="41"/>
      <c r="U179" s="41"/>
      <c r="V179" s="41"/>
      <c r="W179" s="41"/>
      <c r="X179" s="41"/>
      <c r="Y179" s="44"/>
      <c r="Z179" s="44"/>
      <c r="AA179" s="44"/>
      <c r="AC179" s="41"/>
      <c r="AD179" s="41"/>
      <c r="AE179" s="41"/>
      <c r="AF179" s="41"/>
      <c r="AG179" s="41"/>
      <c r="AH179" s="44"/>
      <c r="AI179" s="44"/>
      <c r="AJ179" s="44"/>
    </row>
    <row r="180" spans="11:36" x14ac:dyDescent="0.2">
      <c r="K180" s="41"/>
      <c r="L180" s="41"/>
      <c r="M180" s="41"/>
      <c r="N180" s="41"/>
      <c r="O180" s="41"/>
      <c r="P180" s="44"/>
      <c r="Q180" s="44"/>
      <c r="R180" s="44"/>
      <c r="T180" s="41"/>
      <c r="U180" s="41"/>
      <c r="V180" s="41"/>
      <c r="W180" s="41"/>
      <c r="X180" s="41"/>
      <c r="Y180" s="44"/>
      <c r="Z180" s="44"/>
      <c r="AA180" s="44"/>
      <c r="AC180" s="41"/>
      <c r="AD180" s="41"/>
      <c r="AE180" s="41"/>
      <c r="AF180" s="41"/>
      <c r="AG180" s="41"/>
      <c r="AH180" s="44"/>
      <c r="AI180" s="44"/>
      <c r="AJ180" s="44"/>
    </row>
    <row r="181" spans="11:36" x14ac:dyDescent="0.2">
      <c r="K181" s="41"/>
      <c r="L181" s="41"/>
      <c r="M181" s="41"/>
      <c r="N181" s="41"/>
      <c r="O181" s="41"/>
      <c r="P181" s="44"/>
      <c r="Q181" s="44"/>
      <c r="R181" s="44"/>
      <c r="T181" s="41"/>
      <c r="U181" s="41"/>
      <c r="V181" s="41"/>
      <c r="W181" s="41"/>
      <c r="X181" s="41"/>
      <c r="Y181" s="44"/>
      <c r="Z181" s="44"/>
      <c r="AA181" s="44"/>
      <c r="AC181" s="41"/>
      <c r="AD181" s="41"/>
      <c r="AE181" s="41"/>
      <c r="AF181" s="41"/>
      <c r="AG181" s="41"/>
      <c r="AH181" s="44"/>
      <c r="AI181" s="44"/>
      <c r="AJ181" s="44"/>
    </row>
    <row r="182" spans="11:36" x14ac:dyDescent="0.2">
      <c r="K182" s="41"/>
      <c r="L182" s="41"/>
      <c r="M182" s="41"/>
      <c r="N182" s="41"/>
      <c r="O182" s="41"/>
      <c r="P182" s="44"/>
      <c r="Q182" s="44"/>
      <c r="R182" s="44"/>
      <c r="T182" s="41"/>
      <c r="U182" s="41"/>
      <c r="V182" s="41"/>
      <c r="W182" s="41"/>
      <c r="X182" s="41"/>
      <c r="Y182" s="44"/>
      <c r="Z182" s="44"/>
      <c r="AA182" s="44"/>
      <c r="AC182" s="41"/>
      <c r="AD182" s="41"/>
      <c r="AE182" s="41"/>
      <c r="AF182" s="41"/>
      <c r="AG182" s="41"/>
      <c r="AH182" s="44"/>
      <c r="AI182" s="44"/>
      <c r="AJ182" s="44"/>
    </row>
    <row r="183" spans="11:36" x14ac:dyDescent="0.2">
      <c r="K183" s="41"/>
      <c r="L183" s="41"/>
      <c r="M183" s="41"/>
      <c r="N183" s="41"/>
      <c r="O183" s="41"/>
      <c r="P183" s="44"/>
      <c r="Q183" s="44"/>
      <c r="R183" s="44"/>
      <c r="T183" s="41"/>
      <c r="U183" s="41"/>
      <c r="V183" s="41"/>
      <c r="W183" s="41"/>
      <c r="X183" s="41"/>
      <c r="Y183" s="44"/>
      <c r="Z183" s="44"/>
      <c r="AA183" s="44"/>
      <c r="AC183" s="41"/>
      <c r="AD183" s="41"/>
      <c r="AE183" s="41"/>
      <c r="AF183" s="41"/>
      <c r="AG183" s="41"/>
      <c r="AH183" s="44"/>
      <c r="AI183" s="44"/>
      <c r="AJ183" s="44"/>
    </row>
    <row r="184" spans="11:36" x14ac:dyDescent="0.2">
      <c r="K184" s="41"/>
      <c r="L184" s="41"/>
      <c r="M184" s="41"/>
      <c r="N184" s="41"/>
      <c r="O184" s="41"/>
      <c r="P184" s="44"/>
      <c r="Q184" s="44"/>
      <c r="R184" s="44"/>
      <c r="T184" s="41"/>
      <c r="U184" s="41"/>
      <c r="V184" s="41"/>
      <c r="W184" s="41"/>
      <c r="X184" s="41"/>
      <c r="Y184" s="44"/>
      <c r="Z184" s="44"/>
      <c r="AA184" s="44"/>
      <c r="AC184" s="41"/>
      <c r="AD184" s="41"/>
      <c r="AE184" s="41"/>
      <c r="AF184" s="41"/>
      <c r="AG184" s="41"/>
      <c r="AH184" s="44"/>
      <c r="AI184" s="44"/>
      <c r="AJ184" s="44"/>
    </row>
    <row r="185" spans="11:36" x14ac:dyDescent="0.2">
      <c r="K185" s="41"/>
      <c r="L185" s="41"/>
      <c r="M185" s="41"/>
      <c r="N185" s="41"/>
      <c r="O185" s="41"/>
      <c r="P185" s="44"/>
      <c r="Q185" s="44"/>
      <c r="R185" s="44"/>
      <c r="T185" s="41"/>
      <c r="U185" s="41"/>
      <c r="V185" s="41"/>
      <c r="W185" s="41"/>
      <c r="X185" s="41"/>
      <c r="Y185" s="44"/>
      <c r="Z185" s="44"/>
      <c r="AA185" s="44"/>
      <c r="AC185" s="41"/>
      <c r="AD185" s="41"/>
      <c r="AE185" s="41"/>
      <c r="AF185" s="41"/>
      <c r="AG185" s="41"/>
      <c r="AH185" s="44"/>
      <c r="AI185" s="44"/>
      <c r="AJ185" s="44"/>
    </row>
    <row r="186" spans="11:36" x14ac:dyDescent="0.2">
      <c r="K186" s="41"/>
      <c r="L186" s="41"/>
      <c r="M186" s="41"/>
      <c r="N186" s="41"/>
      <c r="O186" s="41"/>
      <c r="P186" s="44"/>
      <c r="Q186" s="44"/>
      <c r="R186" s="44"/>
      <c r="T186" s="41"/>
      <c r="U186" s="41"/>
      <c r="V186" s="41"/>
      <c r="W186" s="41"/>
      <c r="X186" s="41"/>
      <c r="Y186" s="44"/>
      <c r="Z186" s="44"/>
      <c r="AA186" s="44"/>
      <c r="AC186" s="41"/>
      <c r="AD186" s="41"/>
      <c r="AE186" s="41"/>
      <c r="AF186" s="41"/>
      <c r="AG186" s="41"/>
      <c r="AH186" s="44"/>
      <c r="AI186" s="44"/>
      <c r="AJ186" s="44"/>
    </row>
    <row r="187" spans="11:36" x14ac:dyDescent="0.2">
      <c r="K187" s="41"/>
      <c r="L187" s="41"/>
      <c r="M187" s="41"/>
      <c r="N187" s="41"/>
      <c r="O187" s="41"/>
      <c r="P187" s="44"/>
      <c r="Q187" s="44"/>
      <c r="R187" s="44"/>
      <c r="T187" s="41"/>
      <c r="U187" s="41"/>
      <c r="V187" s="41"/>
      <c r="W187" s="41"/>
      <c r="X187" s="41"/>
      <c r="Y187" s="44"/>
      <c r="Z187" s="44"/>
      <c r="AA187" s="44"/>
      <c r="AC187" s="41"/>
      <c r="AD187" s="41"/>
      <c r="AE187" s="41"/>
      <c r="AF187" s="41"/>
      <c r="AG187" s="41"/>
      <c r="AH187" s="44"/>
      <c r="AI187" s="44"/>
      <c r="AJ187" s="44"/>
    </row>
    <row r="188" spans="11:36" x14ac:dyDescent="0.2">
      <c r="K188" s="41"/>
      <c r="L188" s="41"/>
      <c r="M188" s="41"/>
      <c r="N188" s="41"/>
      <c r="O188" s="41"/>
      <c r="P188" s="44"/>
      <c r="Q188" s="44"/>
      <c r="R188" s="44"/>
      <c r="T188" s="41"/>
      <c r="U188" s="41"/>
      <c r="V188" s="41"/>
      <c r="W188" s="41"/>
      <c r="X188" s="41"/>
      <c r="Y188" s="44"/>
      <c r="Z188" s="44"/>
      <c r="AA188" s="44"/>
      <c r="AC188" s="41"/>
      <c r="AD188" s="41"/>
      <c r="AE188" s="41"/>
      <c r="AF188" s="41"/>
      <c r="AG188" s="41"/>
      <c r="AH188" s="44"/>
      <c r="AI188" s="44"/>
      <c r="AJ188" s="44"/>
    </row>
    <row r="189" spans="11:36" x14ac:dyDescent="0.2">
      <c r="K189" s="41"/>
      <c r="L189" s="41"/>
      <c r="M189" s="41"/>
      <c r="N189" s="41"/>
      <c r="O189" s="41"/>
      <c r="P189" s="44"/>
      <c r="Q189" s="44"/>
      <c r="R189" s="44"/>
      <c r="T189" s="41"/>
      <c r="U189" s="41"/>
      <c r="V189" s="41"/>
      <c r="W189" s="41"/>
      <c r="X189" s="41"/>
      <c r="Y189" s="44"/>
      <c r="Z189" s="44"/>
      <c r="AA189" s="44"/>
      <c r="AC189" s="41"/>
      <c r="AD189" s="41"/>
      <c r="AE189" s="41"/>
      <c r="AF189" s="41"/>
      <c r="AG189" s="41"/>
      <c r="AH189" s="44"/>
      <c r="AI189" s="44"/>
      <c r="AJ189" s="44"/>
    </row>
    <row r="190" spans="11:36" x14ac:dyDescent="0.2">
      <c r="K190" s="41"/>
      <c r="L190" s="41"/>
      <c r="M190" s="41"/>
      <c r="N190" s="41"/>
      <c r="O190" s="41"/>
      <c r="P190" s="44"/>
      <c r="Q190" s="44"/>
      <c r="R190" s="44"/>
      <c r="T190" s="41"/>
      <c r="U190" s="41"/>
      <c r="V190" s="41"/>
      <c r="W190" s="41"/>
      <c r="X190" s="41"/>
      <c r="Y190" s="44"/>
      <c r="Z190" s="44"/>
      <c r="AA190" s="44"/>
      <c r="AC190" s="41"/>
      <c r="AD190" s="41"/>
      <c r="AE190" s="41"/>
      <c r="AF190" s="41"/>
      <c r="AG190" s="41"/>
      <c r="AH190" s="44"/>
      <c r="AI190" s="44"/>
      <c r="AJ190" s="44"/>
    </row>
    <row r="191" spans="11:36" x14ac:dyDescent="0.2">
      <c r="K191" s="41"/>
      <c r="L191" s="41"/>
      <c r="M191" s="41"/>
      <c r="N191" s="41"/>
      <c r="O191" s="41"/>
      <c r="P191" s="44"/>
      <c r="Q191" s="44"/>
      <c r="R191" s="44"/>
      <c r="T191" s="41"/>
      <c r="U191" s="41"/>
      <c r="V191" s="41"/>
      <c r="W191" s="41"/>
      <c r="X191" s="41"/>
      <c r="Y191" s="44"/>
      <c r="Z191" s="44"/>
      <c r="AA191" s="44"/>
      <c r="AC191" s="41"/>
      <c r="AD191" s="41"/>
      <c r="AE191" s="41"/>
      <c r="AF191" s="41"/>
      <c r="AG191" s="41"/>
      <c r="AH191" s="44"/>
      <c r="AI191" s="44"/>
      <c r="AJ191" s="44"/>
    </row>
    <row r="192" spans="11:36" x14ac:dyDescent="0.2">
      <c r="K192" s="41"/>
      <c r="L192" s="41"/>
      <c r="M192" s="41"/>
      <c r="N192" s="41"/>
      <c r="O192" s="41"/>
      <c r="P192" s="44"/>
      <c r="Q192" s="44"/>
      <c r="R192" s="44"/>
      <c r="T192" s="41"/>
      <c r="U192" s="41"/>
      <c r="V192" s="41"/>
      <c r="W192" s="41"/>
      <c r="X192" s="41"/>
      <c r="Y192" s="44"/>
      <c r="Z192" s="44"/>
      <c r="AA192" s="44"/>
      <c r="AC192" s="41"/>
      <c r="AD192" s="41"/>
      <c r="AE192" s="41"/>
      <c r="AF192" s="41"/>
      <c r="AG192" s="41"/>
      <c r="AH192" s="44"/>
      <c r="AI192" s="44"/>
      <c r="AJ192" s="44"/>
    </row>
    <row r="193" spans="11:36" x14ac:dyDescent="0.2">
      <c r="K193" s="41"/>
      <c r="L193" s="41"/>
      <c r="M193" s="41"/>
      <c r="N193" s="41"/>
      <c r="O193" s="41"/>
      <c r="P193" s="44"/>
      <c r="Q193" s="44"/>
      <c r="R193" s="44"/>
      <c r="T193" s="41"/>
      <c r="U193" s="41"/>
      <c r="V193" s="41"/>
      <c r="W193" s="41"/>
      <c r="X193" s="41"/>
      <c r="Y193" s="44"/>
      <c r="Z193" s="44"/>
      <c r="AA193" s="44"/>
      <c r="AC193" s="41"/>
      <c r="AD193" s="41"/>
      <c r="AE193" s="41"/>
      <c r="AF193" s="41"/>
      <c r="AG193" s="41"/>
      <c r="AH193" s="44"/>
      <c r="AI193" s="44"/>
      <c r="AJ193" s="44"/>
    </row>
    <row r="194" spans="11:36" x14ac:dyDescent="0.2">
      <c r="K194" s="41"/>
      <c r="L194" s="41"/>
      <c r="M194" s="41"/>
      <c r="N194" s="41"/>
      <c r="O194" s="41"/>
      <c r="P194" s="44"/>
      <c r="Q194" s="44"/>
      <c r="R194" s="44"/>
      <c r="T194" s="41"/>
      <c r="U194" s="41"/>
      <c r="V194" s="41"/>
      <c r="W194" s="41"/>
      <c r="X194" s="41"/>
      <c r="Y194" s="44"/>
      <c r="Z194" s="44"/>
      <c r="AA194" s="44"/>
      <c r="AC194" s="41"/>
      <c r="AD194" s="41"/>
      <c r="AE194" s="41"/>
      <c r="AF194" s="41"/>
      <c r="AG194" s="41"/>
      <c r="AH194" s="44"/>
      <c r="AI194" s="44"/>
      <c r="AJ194" s="44"/>
    </row>
    <row r="195" spans="11:36" x14ac:dyDescent="0.2">
      <c r="K195" s="41"/>
      <c r="L195" s="41"/>
      <c r="M195" s="41"/>
      <c r="N195" s="41"/>
      <c r="O195" s="41"/>
      <c r="P195" s="44"/>
      <c r="Q195" s="44"/>
      <c r="R195" s="44"/>
      <c r="T195" s="41"/>
      <c r="U195" s="41"/>
      <c r="V195" s="41"/>
      <c r="W195" s="41"/>
      <c r="X195" s="41"/>
      <c r="Y195" s="44"/>
      <c r="Z195" s="44"/>
      <c r="AA195" s="44"/>
      <c r="AC195" s="41"/>
      <c r="AD195" s="41"/>
      <c r="AE195" s="41"/>
      <c r="AF195" s="41"/>
      <c r="AG195" s="41"/>
      <c r="AH195" s="44"/>
      <c r="AI195" s="44"/>
      <c r="AJ195" s="44"/>
    </row>
    <row r="196" spans="11:36" x14ac:dyDescent="0.2">
      <c r="K196" s="41"/>
      <c r="L196" s="41"/>
      <c r="M196" s="41"/>
      <c r="N196" s="41"/>
      <c r="O196" s="41"/>
      <c r="P196" s="44"/>
      <c r="Q196" s="44"/>
      <c r="R196" s="44"/>
      <c r="T196" s="41"/>
      <c r="U196" s="41"/>
      <c r="V196" s="41"/>
      <c r="W196" s="41"/>
      <c r="X196" s="41"/>
      <c r="Y196" s="44"/>
      <c r="Z196" s="44"/>
      <c r="AA196" s="44"/>
      <c r="AC196" s="41"/>
      <c r="AD196" s="41"/>
      <c r="AE196" s="41"/>
      <c r="AF196" s="41"/>
      <c r="AG196" s="41"/>
      <c r="AH196" s="44"/>
      <c r="AI196" s="44"/>
      <c r="AJ196" s="44"/>
    </row>
    <row r="197" spans="11:36" x14ac:dyDescent="0.2">
      <c r="K197" s="41"/>
      <c r="L197" s="41"/>
      <c r="M197" s="41"/>
      <c r="N197" s="41"/>
      <c r="O197" s="41"/>
      <c r="P197" s="44"/>
      <c r="Q197" s="44"/>
      <c r="R197" s="44"/>
      <c r="T197" s="41"/>
      <c r="U197" s="41"/>
      <c r="V197" s="41"/>
      <c r="W197" s="41"/>
      <c r="X197" s="41"/>
      <c r="Y197" s="44"/>
      <c r="Z197" s="44"/>
      <c r="AA197" s="44"/>
      <c r="AC197" s="41"/>
      <c r="AD197" s="41"/>
      <c r="AE197" s="41"/>
      <c r="AF197" s="41"/>
      <c r="AG197" s="41"/>
      <c r="AH197" s="44"/>
      <c r="AI197" s="44"/>
      <c r="AJ197" s="44"/>
    </row>
    <row r="198" spans="11:36" x14ac:dyDescent="0.2">
      <c r="K198" s="41"/>
      <c r="L198" s="41"/>
      <c r="M198" s="41"/>
      <c r="N198" s="41"/>
      <c r="O198" s="41"/>
      <c r="P198" s="44"/>
      <c r="Q198" s="44"/>
      <c r="R198" s="44"/>
      <c r="T198" s="41"/>
      <c r="U198" s="41"/>
      <c r="V198" s="41"/>
      <c r="W198" s="41"/>
      <c r="X198" s="41"/>
      <c r="Y198" s="44"/>
      <c r="Z198" s="44"/>
      <c r="AA198" s="44"/>
      <c r="AC198" s="41"/>
      <c r="AD198" s="41"/>
      <c r="AE198" s="41"/>
      <c r="AF198" s="41"/>
      <c r="AG198" s="41"/>
      <c r="AH198" s="44"/>
      <c r="AI198" s="44"/>
      <c r="AJ198" s="44"/>
    </row>
    <row r="199" spans="11:36" x14ac:dyDescent="0.2">
      <c r="K199" s="41"/>
      <c r="L199" s="41"/>
      <c r="M199" s="41"/>
      <c r="N199" s="41"/>
      <c r="O199" s="41"/>
      <c r="P199" s="44"/>
      <c r="Q199" s="44"/>
      <c r="R199" s="44"/>
      <c r="T199" s="41"/>
      <c r="U199" s="41"/>
      <c r="V199" s="41"/>
      <c r="W199" s="41"/>
      <c r="X199" s="41"/>
      <c r="Y199" s="44"/>
      <c r="Z199" s="44"/>
      <c r="AA199" s="44"/>
      <c r="AC199" s="41"/>
      <c r="AD199" s="41"/>
      <c r="AE199" s="41"/>
      <c r="AF199" s="41"/>
      <c r="AG199" s="41"/>
      <c r="AH199" s="44"/>
      <c r="AI199" s="44"/>
      <c r="AJ199" s="44"/>
    </row>
    <row r="200" spans="11:36" x14ac:dyDescent="0.2">
      <c r="K200" s="41"/>
      <c r="L200" s="41"/>
      <c r="M200" s="41"/>
      <c r="N200" s="41"/>
      <c r="O200" s="41"/>
      <c r="P200" s="44"/>
      <c r="Q200" s="44"/>
      <c r="R200" s="44"/>
      <c r="T200" s="41"/>
      <c r="U200" s="41"/>
      <c r="V200" s="41"/>
      <c r="W200" s="41"/>
      <c r="X200" s="41"/>
      <c r="Y200" s="44"/>
      <c r="Z200" s="44"/>
      <c r="AA200" s="44"/>
      <c r="AC200" s="41"/>
      <c r="AD200" s="41"/>
      <c r="AE200" s="41"/>
      <c r="AF200" s="41"/>
      <c r="AG200" s="41"/>
      <c r="AH200" s="44"/>
      <c r="AI200" s="44"/>
      <c r="AJ200" s="44"/>
    </row>
    <row r="201" spans="11:36" x14ac:dyDescent="0.2">
      <c r="K201" s="41"/>
      <c r="L201" s="41"/>
      <c r="M201" s="41"/>
      <c r="N201" s="41"/>
      <c r="O201" s="41"/>
      <c r="P201" s="44"/>
      <c r="Q201" s="44"/>
      <c r="R201" s="44"/>
      <c r="T201" s="41"/>
      <c r="U201" s="41"/>
      <c r="V201" s="41"/>
      <c r="W201" s="41"/>
      <c r="X201" s="41"/>
      <c r="Y201" s="44"/>
      <c r="Z201" s="44"/>
      <c r="AA201" s="44"/>
      <c r="AC201" s="41"/>
      <c r="AD201" s="41"/>
      <c r="AE201" s="41"/>
      <c r="AF201" s="41"/>
      <c r="AG201" s="41"/>
      <c r="AH201" s="44"/>
      <c r="AI201" s="44"/>
      <c r="AJ201" s="44"/>
    </row>
    <row r="202" spans="11:36" x14ac:dyDescent="0.2">
      <c r="K202" s="41"/>
      <c r="L202" s="41"/>
      <c r="M202" s="41"/>
      <c r="N202" s="41"/>
      <c r="O202" s="41"/>
      <c r="P202" s="44"/>
      <c r="Q202" s="44"/>
      <c r="R202" s="44"/>
      <c r="T202" s="41"/>
      <c r="U202" s="41"/>
      <c r="V202" s="41"/>
      <c r="W202" s="41"/>
      <c r="X202" s="41"/>
      <c r="Y202" s="44"/>
      <c r="Z202" s="44"/>
      <c r="AA202" s="44"/>
      <c r="AC202" s="41"/>
      <c r="AD202" s="41"/>
      <c r="AE202" s="41"/>
      <c r="AF202" s="41"/>
      <c r="AG202" s="41"/>
      <c r="AH202" s="44"/>
      <c r="AI202" s="44"/>
      <c r="AJ202" s="44"/>
    </row>
    <row r="203" spans="11:36" x14ac:dyDescent="0.2">
      <c r="K203" s="41"/>
      <c r="L203" s="41"/>
      <c r="M203" s="41"/>
      <c r="N203" s="41"/>
      <c r="O203" s="41"/>
      <c r="P203" s="44"/>
      <c r="Q203" s="44"/>
      <c r="R203" s="44"/>
      <c r="T203" s="41"/>
      <c r="U203" s="41"/>
      <c r="V203" s="41"/>
      <c r="W203" s="41"/>
      <c r="X203" s="41"/>
      <c r="Y203" s="44"/>
      <c r="Z203" s="44"/>
      <c r="AA203" s="44"/>
      <c r="AC203" s="41"/>
      <c r="AD203" s="41"/>
      <c r="AE203" s="41"/>
      <c r="AF203" s="41"/>
      <c r="AG203" s="41"/>
      <c r="AH203" s="44"/>
      <c r="AI203" s="44"/>
      <c r="AJ203" s="44"/>
    </row>
    <row r="204" spans="11:36" x14ac:dyDescent="0.2">
      <c r="K204" s="41"/>
      <c r="L204" s="41"/>
      <c r="M204" s="41"/>
      <c r="N204" s="41"/>
      <c r="O204" s="41"/>
      <c r="P204" s="44"/>
      <c r="Q204" s="44"/>
      <c r="R204" s="44"/>
      <c r="T204" s="41"/>
      <c r="U204" s="41"/>
      <c r="V204" s="41"/>
      <c r="W204" s="41"/>
      <c r="X204" s="41"/>
      <c r="Y204" s="44"/>
      <c r="Z204" s="44"/>
      <c r="AA204" s="44"/>
      <c r="AC204" s="41"/>
      <c r="AD204" s="41"/>
      <c r="AE204" s="41"/>
      <c r="AF204" s="41"/>
      <c r="AG204" s="41"/>
      <c r="AH204" s="44"/>
      <c r="AI204" s="44"/>
      <c r="AJ204" s="44"/>
    </row>
    <row r="205" spans="11:36" x14ac:dyDescent="0.2">
      <c r="K205" s="41"/>
      <c r="L205" s="41"/>
      <c r="M205" s="41"/>
      <c r="N205" s="41"/>
      <c r="O205" s="41"/>
      <c r="P205" s="44"/>
      <c r="Q205" s="44"/>
      <c r="R205" s="44"/>
      <c r="T205" s="41"/>
      <c r="U205" s="41"/>
      <c r="V205" s="41"/>
      <c r="W205" s="41"/>
      <c r="X205" s="41"/>
      <c r="Y205" s="44"/>
      <c r="Z205" s="44"/>
      <c r="AA205" s="44"/>
      <c r="AC205" s="41"/>
      <c r="AD205" s="41"/>
      <c r="AE205" s="41"/>
      <c r="AF205" s="41"/>
      <c r="AG205" s="41"/>
      <c r="AH205" s="44"/>
      <c r="AI205" s="44"/>
      <c r="AJ205" s="44"/>
    </row>
    <row r="206" spans="11:36" x14ac:dyDescent="0.2">
      <c r="K206" s="41"/>
      <c r="L206" s="41"/>
      <c r="M206" s="41"/>
      <c r="N206" s="41"/>
      <c r="O206" s="41"/>
      <c r="P206" s="44"/>
      <c r="Q206" s="44"/>
      <c r="R206" s="44"/>
      <c r="T206" s="41"/>
      <c r="U206" s="41"/>
      <c r="V206" s="41"/>
      <c r="W206" s="41"/>
      <c r="X206" s="41"/>
      <c r="Y206" s="44"/>
      <c r="Z206" s="44"/>
      <c r="AA206" s="44"/>
      <c r="AC206" s="41"/>
      <c r="AD206" s="41"/>
      <c r="AE206" s="41"/>
      <c r="AF206" s="41"/>
      <c r="AG206" s="41"/>
      <c r="AH206" s="44"/>
      <c r="AI206" s="44"/>
      <c r="AJ206" s="44"/>
    </row>
    <row r="207" spans="11:36" x14ac:dyDescent="0.2">
      <c r="K207" s="41"/>
      <c r="L207" s="41"/>
      <c r="M207" s="41"/>
      <c r="N207" s="41"/>
      <c r="O207" s="41"/>
      <c r="P207" s="44"/>
      <c r="Q207" s="44"/>
      <c r="R207" s="44"/>
      <c r="T207" s="41"/>
      <c r="U207" s="41"/>
      <c r="V207" s="41"/>
      <c r="W207" s="41"/>
      <c r="X207" s="41"/>
      <c r="Y207" s="44"/>
      <c r="Z207" s="44"/>
      <c r="AA207" s="44"/>
      <c r="AC207" s="41"/>
      <c r="AD207" s="41"/>
      <c r="AE207" s="41"/>
      <c r="AF207" s="41"/>
      <c r="AG207" s="41"/>
      <c r="AH207" s="44"/>
      <c r="AI207" s="44"/>
      <c r="AJ207" s="44"/>
    </row>
    <row r="208" spans="11:36" x14ac:dyDescent="0.2">
      <c r="K208" s="41"/>
      <c r="L208" s="41"/>
      <c r="M208" s="41"/>
      <c r="N208" s="41"/>
      <c r="O208" s="41"/>
      <c r="P208" s="44"/>
      <c r="Q208" s="44"/>
      <c r="R208" s="44"/>
      <c r="T208" s="41"/>
      <c r="U208" s="41"/>
      <c r="V208" s="41"/>
      <c r="W208" s="41"/>
      <c r="X208" s="41"/>
      <c r="Y208" s="44"/>
      <c r="Z208" s="44"/>
      <c r="AA208" s="44"/>
      <c r="AC208" s="41"/>
      <c r="AD208" s="41"/>
      <c r="AE208" s="41"/>
      <c r="AF208" s="41"/>
      <c r="AG208" s="41"/>
      <c r="AH208" s="44"/>
      <c r="AI208" s="44"/>
      <c r="AJ208" s="44"/>
    </row>
    <row r="209" spans="11:36" x14ac:dyDescent="0.2">
      <c r="K209" s="41"/>
      <c r="L209" s="41"/>
      <c r="M209" s="41"/>
      <c r="N209" s="41"/>
      <c r="O209" s="41"/>
      <c r="P209" s="44"/>
      <c r="Q209" s="44"/>
      <c r="R209" s="44"/>
      <c r="T209" s="41"/>
      <c r="U209" s="41"/>
      <c r="V209" s="41"/>
      <c r="W209" s="41"/>
      <c r="X209" s="41"/>
      <c r="Y209" s="44"/>
      <c r="Z209" s="44"/>
      <c r="AA209" s="44"/>
      <c r="AC209" s="41"/>
      <c r="AD209" s="41"/>
      <c r="AE209" s="41"/>
      <c r="AF209" s="41"/>
      <c r="AG209" s="41"/>
      <c r="AH209" s="44"/>
      <c r="AI209" s="44"/>
      <c r="AJ209" s="44"/>
    </row>
    <row r="210" spans="11:36" x14ac:dyDescent="0.2">
      <c r="K210" s="41"/>
      <c r="L210" s="41"/>
      <c r="M210" s="41"/>
      <c r="N210" s="41"/>
      <c r="O210" s="41"/>
      <c r="P210" s="44"/>
      <c r="Q210" s="44"/>
      <c r="R210" s="44"/>
      <c r="T210" s="41"/>
      <c r="U210" s="41"/>
      <c r="V210" s="41"/>
      <c r="W210" s="41"/>
      <c r="X210" s="41"/>
      <c r="Y210" s="44"/>
      <c r="Z210" s="44"/>
      <c r="AA210" s="44"/>
      <c r="AC210" s="41"/>
      <c r="AD210" s="41"/>
      <c r="AE210" s="41"/>
      <c r="AF210" s="41"/>
      <c r="AG210" s="41"/>
      <c r="AH210" s="44"/>
      <c r="AI210" s="44"/>
      <c r="AJ210" s="44"/>
    </row>
    <row r="211" spans="11:36" x14ac:dyDescent="0.2">
      <c r="K211" s="41"/>
      <c r="L211" s="41"/>
      <c r="M211" s="41"/>
      <c r="N211" s="41"/>
      <c r="O211" s="41"/>
      <c r="P211" s="44"/>
      <c r="Q211" s="44"/>
      <c r="R211" s="44"/>
      <c r="T211" s="41"/>
      <c r="U211" s="41"/>
      <c r="V211" s="41"/>
      <c r="W211" s="41"/>
      <c r="X211" s="41"/>
      <c r="Y211" s="44"/>
      <c r="Z211" s="44"/>
      <c r="AA211" s="44"/>
      <c r="AC211" s="41"/>
      <c r="AD211" s="41"/>
      <c r="AE211" s="41"/>
      <c r="AF211" s="41"/>
      <c r="AG211" s="41"/>
      <c r="AH211" s="44"/>
      <c r="AI211" s="44"/>
      <c r="AJ211" s="44"/>
    </row>
    <row r="212" spans="11:36" x14ac:dyDescent="0.2">
      <c r="K212" s="41"/>
      <c r="L212" s="41"/>
      <c r="M212" s="41"/>
      <c r="N212" s="41"/>
      <c r="O212" s="41"/>
      <c r="P212" s="44"/>
      <c r="Q212" s="44"/>
      <c r="R212" s="44"/>
      <c r="T212" s="41"/>
      <c r="U212" s="41"/>
      <c r="V212" s="41"/>
      <c r="W212" s="41"/>
      <c r="X212" s="41"/>
      <c r="Y212" s="44"/>
      <c r="Z212" s="44"/>
      <c r="AA212" s="44"/>
      <c r="AC212" s="41"/>
      <c r="AD212" s="41"/>
      <c r="AE212" s="41"/>
      <c r="AF212" s="41"/>
      <c r="AG212" s="41"/>
      <c r="AH212" s="44"/>
      <c r="AI212" s="44"/>
      <c r="AJ212" s="44"/>
    </row>
    <row r="213" spans="11:36" x14ac:dyDescent="0.2">
      <c r="K213" s="41"/>
      <c r="L213" s="41"/>
      <c r="M213" s="41"/>
      <c r="N213" s="41"/>
      <c r="O213" s="41"/>
      <c r="P213" s="44"/>
      <c r="Q213" s="44"/>
      <c r="R213" s="44"/>
      <c r="T213" s="41"/>
      <c r="U213" s="41"/>
      <c r="V213" s="41"/>
      <c r="W213" s="41"/>
      <c r="X213" s="41"/>
      <c r="Y213" s="44"/>
      <c r="Z213" s="44"/>
      <c r="AA213" s="44"/>
      <c r="AC213" s="41"/>
      <c r="AD213" s="41"/>
      <c r="AE213" s="41"/>
      <c r="AF213" s="41"/>
      <c r="AG213" s="41"/>
      <c r="AH213" s="44"/>
      <c r="AI213" s="44"/>
      <c r="AJ213" s="44"/>
    </row>
    <row r="214" spans="11:36" x14ac:dyDescent="0.2">
      <c r="K214" s="41"/>
      <c r="L214" s="41"/>
      <c r="M214" s="41"/>
      <c r="N214" s="41"/>
      <c r="O214" s="41"/>
      <c r="P214" s="44"/>
      <c r="Q214" s="44"/>
      <c r="R214" s="44"/>
      <c r="T214" s="41"/>
      <c r="U214" s="41"/>
      <c r="V214" s="41"/>
      <c r="W214" s="41"/>
      <c r="X214" s="41"/>
      <c r="Y214" s="44"/>
      <c r="Z214" s="44"/>
      <c r="AA214" s="44"/>
      <c r="AC214" s="41"/>
      <c r="AD214" s="41"/>
      <c r="AE214" s="41"/>
      <c r="AF214" s="41"/>
      <c r="AG214" s="41"/>
      <c r="AH214" s="44"/>
      <c r="AI214" s="44"/>
      <c r="AJ214" s="44"/>
    </row>
    <row r="215" spans="11:36" x14ac:dyDescent="0.2">
      <c r="K215" s="41"/>
      <c r="L215" s="41"/>
      <c r="M215" s="41"/>
      <c r="N215" s="41"/>
      <c r="O215" s="41"/>
      <c r="P215" s="44"/>
      <c r="Q215" s="44"/>
      <c r="R215" s="44"/>
      <c r="T215" s="41"/>
      <c r="U215" s="41"/>
      <c r="V215" s="41"/>
      <c r="W215" s="41"/>
      <c r="X215" s="41"/>
      <c r="Y215" s="44"/>
      <c r="Z215" s="44"/>
      <c r="AA215" s="44"/>
      <c r="AC215" s="41"/>
      <c r="AD215" s="41"/>
      <c r="AE215" s="41"/>
      <c r="AF215" s="41"/>
      <c r="AG215" s="41"/>
      <c r="AH215" s="44"/>
      <c r="AI215" s="44"/>
      <c r="AJ215" s="44"/>
    </row>
    <row r="216" spans="11:36" x14ac:dyDescent="0.2">
      <c r="K216" s="41"/>
      <c r="L216" s="41"/>
      <c r="M216" s="41"/>
      <c r="N216" s="41"/>
      <c r="O216" s="41"/>
      <c r="P216" s="44"/>
      <c r="Q216" s="44"/>
      <c r="R216" s="44"/>
      <c r="T216" s="41"/>
      <c r="U216" s="41"/>
      <c r="V216" s="41"/>
      <c r="W216" s="41"/>
      <c r="X216" s="41"/>
      <c r="Y216" s="44"/>
      <c r="Z216" s="44"/>
      <c r="AA216" s="44"/>
      <c r="AC216" s="41"/>
      <c r="AD216" s="41"/>
      <c r="AE216" s="41"/>
      <c r="AF216" s="41"/>
      <c r="AG216" s="41"/>
      <c r="AH216" s="44"/>
      <c r="AI216" s="44"/>
      <c r="AJ216" s="44"/>
    </row>
    <row r="217" spans="11:36" x14ac:dyDescent="0.2">
      <c r="K217" s="41"/>
      <c r="L217" s="41"/>
      <c r="M217" s="41"/>
      <c r="N217" s="41"/>
      <c r="O217" s="41"/>
      <c r="P217" s="44"/>
      <c r="Q217" s="44"/>
      <c r="R217" s="44"/>
      <c r="T217" s="41"/>
      <c r="U217" s="41"/>
      <c r="V217" s="41"/>
      <c r="W217" s="41"/>
      <c r="X217" s="41"/>
      <c r="Y217" s="44"/>
      <c r="Z217" s="44"/>
      <c r="AA217" s="44"/>
      <c r="AC217" s="41"/>
      <c r="AD217" s="41"/>
      <c r="AE217" s="41"/>
      <c r="AF217" s="41"/>
      <c r="AG217" s="41"/>
      <c r="AH217" s="44"/>
      <c r="AI217" s="44"/>
      <c r="AJ217" s="44"/>
    </row>
    <row r="218" spans="11:36" x14ac:dyDescent="0.2">
      <c r="K218" s="41"/>
      <c r="L218" s="41"/>
      <c r="M218" s="41"/>
      <c r="N218" s="41"/>
      <c r="O218" s="41"/>
      <c r="P218" s="44"/>
      <c r="Q218" s="44"/>
      <c r="R218" s="44"/>
      <c r="T218" s="41"/>
      <c r="U218" s="41"/>
      <c r="V218" s="41"/>
      <c r="W218" s="41"/>
      <c r="X218" s="41"/>
      <c r="Y218" s="44"/>
      <c r="Z218" s="44"/>
      <c r="AA218" s="44"/>
      <c r="AC218" s="41"/>
      <c r="AD218" s="41"/>
      <c r="AE218" s="41"/>
      <c r="AF218" s="41"/>
      <c r="AG218" s="41"/>
      <c r="AH218" s="44"/>
      <c r="AI218" s="44"/>
      <c r="AJ218" s="44"/>
    </row>
    <row r="219" spans="11:36" x14ac:dyDescent="0.2">
      <c r="K219" s="41"/>
      <c r="L219" s="41"/>
      <c r="M219" s="41"/>
      <c r="N219" s="41"/>
      <c r="O219" s="41"/>
      <c r="P219" s="44"/>
      <c r="Q219" s="44"/>
      <c r="R219" s="44"/>
      <c r="T219" s="41"/>
      <c r="U219" s="41"/>
      <c r="V219" s="41"/>
      <c r="W219" s="41"/>
      <c r="X219" s="41"/>
      <c r="Y219" s="44"/>
      <c r="Z219" s="44"/>
      <c r="AA219" s="44"/>
      <c r="AC219" s="41"/>
      <c r="AD219" s="41"/>
      <c r="AE219" s="41"/>
      <c r="AF219" s="41"/>
      <c r="AG219" s="41"/>
      <c r="AH219" s="44"/>
      <c r="AI219" s="44"/>
      <c r="AJ219" s="44"/>
    </row>
    <row r="220" spans="11:36" x14ac:dyDescent="0.2">
      <c r="K220" s="41"/>
      <c r="L220" s="41"/>
      <c r="M220" s="41"/>
      <c r="N220" s="41"/>
      <c r="O220" s="41"/>
      <c r="P220" s="44"/>
      <c r="Q220" s="44"/>
      <c r="R220" s="44"/>
      <c r="T220" s="41"/>
      <c r="U220" s="41"/>
      <c r="V220" s="41"/>
      <c r="W220" s="41"/>
      <c r="X220" s="41"/>
      <c r="Y220" s="44"/>
      <c r="Z220" s="44"/>
      <c r="AA220" s="44"/>
      <c r="AC220" s="41"/>
      <c r="AD220" s="41"/>
      <c r="AE220" s="41"/>
      <c r="AF220" s="41"/>
      <c r="AG220" s="41"/>
      <c r="AH220" s="44"/>
      <c r="AI220" s="44"/>
      <c r="AJ220" s="44"/>
    </row>
    <row r="221" spans="11:36" x14ac:dyDescent="0.2">
      <c r="K221" s="41"/>
      <c r="L221" s="41"/>
      <c r="M221" s="41"/>
      <c r="N221" s="41"/>
      <c r="O221" s="41"/>
      <c r="P221" s="44"/>
      <c r="Q221" s="44"/>
      <c r="R221" s="44"/>
      <c r="T221" s="41"/>
      <c r="U221" s="41"/>
      <c r="V221" s="41"/>
      <c r="W221" s="41"/>
      <c r="X221" s="41"/>
      <c r="Y221" s="44"/>
      <c r="Z221" s="44"/>
      <c r="AA221" s="44"/>
      <c r="AC221" s="41"/>
      <c r="AD221" s="41"/>
      <c r="AE221" s="41"/>
      <c r="AF221" s="41"/>
      <c r="AG221" s="41"/>
      <c r="AH221" s="44"/>
      <c r="AI221" s="44"/>
      <c r="AJ221" s="44"/>
    </row>
    <row r="222" spans="11:36" x14ac:dyDescent="0.2">
      <c r="K222" s="41"/>
      <c r="L222" s="41"/>
      <c r="M222" s="41"/>
      <c r="N222" s="41"/>
      <c r="O222" s="41"/>
      <c r="P222" s="44"/>
      <c r="Q222" s="44"/>
      <c r="R222" s="44"/>
      <c r="T222" s="41"/>
      <c r="U222" s="41"/>
      <c r="V222" s="41"/>
      <c r="W222" s="41"/>
      <c r="X222" s="41"/>
      <c r="Y222" s="44"/>
      <c r="Z222" s="44"/>
      <c r="AA222" s="44"/>
      <c r="AC222" s="41"/>
      <c r="AD222" s="41"/>
      <c r="AE222" s="41"/>
      <c r="AF222" s="41"/>
      <c r="AG222" s="41"/>
      <c r="AH222" s="44"/>
      <c r="AI222" s="44"/>
      <c r="AJ222" s="44"/>
    </row>
    <row r="223" spans="11:36" x14ac:dyDescent="0.2">
      <c r="K223" s="41"/>
      <c r="L223" s="41"/>
      <c r="M223" s="41"/>
      <c r="N223" s="41"/>
      <c r="O223" s="41"/>
      <c r="P223" s="44"/>
      <c r="Q223" s="44"/>
      <c r="R223" s="44"/>
      <c r="T223" s="41"/>
      <c r="U223" s="41"/>
      <c r="V223" s="41"/>
      <c r="W223" s="41"/>
      <c r="X223" s="41"/>
      <c r="Y223" s="44"/>
      <c r="Z223" s="44"/>
      <c r="AA223" s="44"/>
      <c r="AC223" s="41"/>
      <c r="AD223" s="41"/>
      <c r="AE223" s="41"/>
      <c r="AF223" s="41"/>
      <c r="AG223" s="41"/>
      <c r="AH223" s="44"/>
      <c r="AI223" s="44"/>
      <c r="AJ223" s="44"/>
    </row>
    <row r="224" spans="11:36" x14ac:dyDescent="0.2">
      <c r="K224" s="41"/>
      <c r="L224" s="41"/>
      <c r="M224" s="41"/>
      <c r="N224" s="41"/>
      <c r="O224" s="41"/>
      <c r="P224" s="44"/>
      <c r="Q224" s="44"/>
      <c r="R224" s="44"/>
      <c r="T224" s="41"/>
      <c r="U224" s="41"/>
      <c r="V224" s="41"/>
      <c r="W224" s="41"/>
      <c r="X224" s="41"/>
      <c r="Y224" s="44"/>
      <c r="Z224" s="44"/>
      <c r="AA224" s="44"/>
      <c r="AC224" s="41"/>
      <c r="AD224" s="41"/>
      <c r="AE224" s="41"/>
      <c r="AF224" s="41"/>
      <c r="AG224" s="41"/>
      <c r="AH224" s="44"/>
      <c r="AI224" s="44"/>
      <c r="AJ224" s="44"/>
    </row>
    <row r="225" spans="11:36" x14ac:dyDescent="0.2">
      <c r="K225" s="41"/>
      <c r="L225" s="41"/>
      <c r="M225" s="41"/>
      <c r="N225" s="41"/>
      <c r="O225" s="41"/>
      <c r="P225" s="44"/>
      <c r="Q225" s="44"/>
      <c r="R225" s="44"/>
      <c r="T225" s="41"/>
      <c r="U225" s="41"/>
      <c r="V225" s="41"/>
      <c r="W225" s="41"/>
      <c r="X225" s="41"/>
      <c r="Y225" s="44"/>
      <c r="Z225" s="44"/>
      <c r="AA225" s="44"/>
      <c r="AC225" s="41"/>
      <c r="AD225" s="41"/>
      <c r="AE225" s="41"/>
      <c r="AF225" s="41"/>
      <c r="AG225" s="41"/>
      <c r="AH225" s="44"/>
      <c r="AI225" s="44"/>
      <c r="AJ225" s="44"/>
    </row>
    <row r="226" spans="11:36" x14ac:dyDescent="0.2">
      <c r="K226" s="41"/>
      <c r="L226" s="41"/>
      <c r="M226" s="41"/>
      <c r="N226" s="41"/>
      <c r="O226" s="41"/>
      <c r="P226" s="44"/>
      <c r="Q226" s="44"/>
      <c r="R226" s="44"/>
      <c r="T226" s="41"/>
      <c r="U226" s="41"/>
      <c r="V226" s="41"/>
      <c r="W226" s="41"/>
      <c r="X226" s="41"/>
      <c r="Y226" s="44"/>
      <c r="Z226" s="44"/>
      <c r="AA226" s="44"/>
      <c r="AC226" s="41"/>
      <c r="AD226" s="41"/>
      <c r="AE226" s="41"/>
      <c r="AF226" s="41"/>
      <c r="AG226" s="41"/>
      <c r="AH226" s="44"/>
      <c r="AI226" s="44"/>
      <c r="AJ226" s="44"/>
    </row>
    <row r="227" spans="11:36" x14ac:dyDescent="0.2">
      <c r="K227" s="41"/>
      <c r="L227" s="41"/>
      <c r="M227" s="41"/>
      <c r="N227" s="41"/>
      <c r="O227" s="41"/>
      <c r="P227" s="44"/>
      <c r="Q227" s="44"/>
      <c r="R227" s="44"/>
      <c r="T227" s="41"/>
      <c r="U227" s="41"/>
      <c r="V227" s="41"/>
      <c r="W227" s="41"/>
      <c r="X227" s="41"/>
      <c r="Y227" s="44"/>
      <c r="Z227" s="44"/>
      <c r="AA227" s="44"/>
      <c r="AC227" s="41"/>
      <c r="AD227" s="41"/>
      <c r="AE227" s="41"/>
      <c r="AF227" s="41"/>
      <c r="AG227" s="41"/>
      <c r="AH227" s="44"/>
      <c r="AI227" s="44"/>
      <c r="AJ227" s="44"/>
    </row>
    <row r="228" spans="11:36" x14ac:dyDescent="0.2">
      <c r="K228" s="41"/>
      <c r="L228" s="41"/>
      <c r="M228" s="41"/>
      <c r="N228" s="41"/>
      <c r="O228" s="41"/>
      <c r="P228" s="44"/>
      <c r="Q228" s="44"/>
      <c r="R228" s="44"/>
      <c r="T228" s="41"/>
      <c r="U228" s="41"/>
      <c r="V228" s="41"/>
      <c r="W228" s="41"/>
      <c r="X228" s="41"/>
      <c r="Y228" s="44"/>
      <c r="Z228" s="44"/>
      <c r="AA228" s="44"/>
      <c r="AC228" s="41"/>
      <c r="AD228" s="41"/>
      <c r="AE228" s="41"/>
      <c r="AF228" s="41"/>
      <c r="AG228" s="41"/>
      <c r="AH228" s="44"/>
      <c r="AI228" s="44"/>
      <c r="AJ228" s="44"/>
    </row>
    <row r="229" spans="11:36" x14ac:dyDescent="0.2">
      <c r="K229" s="41"/>
      <c r="L229" s="41"/>
      <c r="M229" s="41"/>
      <c r="N229" s="41"/>
      <c r="O229" s="41"/>
      <c r="P229" s="44"/>
      <c r="Q229" s="44"/>
      <c r="R229" s="44"/>
      <c r="T229" s="41"/>
      <c r="U229" s="41"/>
      <c r="V229" s="41"/>
      <c r="W229" s="41"/>
      <c r="X229" s="41"/>
      <c r="Y229" s="44"/>
      <c r="Z229" s="44"/>
      <c r="AA229" s="44"/>
      <c r="AC229" s="41"/>
      <c r="AD229" s="41"/>
      <c r="AE229" s="41"/>
      <c r="AF229" s="41"/>
      <c r="AG229" s="41"/>
      <c r="AH229" s="44"/>
      <c r="AI229" s="44"/>
      <c r="AJ229" s="44"/>
    </row>
    <row r="230" spans="11:36" x14ac:dyDescent="0.2">
      <c r="K230" s="41"/>
      <c r="L230" s="41"/>
      <c r="M230" s="41"/>
      <c r="N230" s="41"/>
      <c r="O230" s="41"/>
      <c r="P230" s="44"/>
      <c r="Q230" s="44"/>
      <c r="R230" s="44"/>
      <c r="T230" s="41"/>
      <c r="U230" s="41"/>
      <c r="V230" s="41"/>
      <c r="W230" s="41"/>
      <c r="X230" s="41"/>
      <c r="Y230" s="44"/>
      <c r="Z230" s="44"/>
      <c r="AA230" s="44"/>
      <c r="AC230" s="41"/>
      <c r="AD230" s="41"/>
      <c r="AE230" s="41"/>
      <c r="AF230" s="41"/>
      <c r="AG230" s="41"/>
      <c r="AH230" s="44"/>
      <c r="AI230" s="44"/>
      <c r="AJ230" s="44"/>
    </row>
    <row r="231" spans="11:36" x14ac:dyDescent="0.2">
      <c r="K231" s="41"/>
      <c r="L231" s="41"/>
      <c r="M231" s="41"/>
      <c r="N231" s="41"/>
      <c r="O231" s="41"/>
      <c r="P231" s="44"/>
      <c r="Q231" s="44"/>
      <c r="R231" s="44"/>
      <c r="T231" s="41"/>
      <c r="U231" s="41"/>
      <c r="V231" s="41"/>
      <c r="W231" s="41"/>
      <c r="X231" s="41"/>
      <c r="Y231" s="44"/>
      <c r="Z231" s="44"/>
      <c r="AA231" s="44"/>
      <c r="AC231" s="41"/>
      <c r="AD231" s="41"/>
      <c r="AE231" s="41"/>
      <c r="AF231" s="41"/>
      <c r="AG231" s="41"/>
      <c r="AH231" s="44"/>
      <c r="AI231" s="44"/>
      <c r="AJ231" s="44"/>
    </row>
    <row r="232" spans="11:36" x14ac:dyDescent="0.2">
      <c r="K232" s="41"/>
      <c r="L232" s="41"/>
      <c r="M232" s="41"/>
      <c r="N232" s="41"/>
      <c r="O232" s="41"/>
      <c r="P232" s="44"/>
      <c r="Q232" s="44"/>
      <c r="R232" s="44"/>
      <c r="T232" s="41"/>
      <c r="U232" s="41"/>
      <c r="V232" s="41"/>
      <c r="W232" s="41"/>
      <c r="X232" s="41"/>
      <c r="Y232" s="44"/>
      <c r="Z232" s="44"/>
      <c r="AA232" s="44"/>
      <c r="AC232" s="41"/>
      <c r="AD232" s="41"/>
      <c r="AE232" s="41"/>
      <c r="AF232" s="41"/>
      <c r="AG232" s="41"/>
      <c r="AH232" s="44"/>
      <c r="AI232" s="44"/>
      <c r="AJ232" s="44"/>
    </row>
    <row r="233" spans="11:36" x14ac:dyDescent="0.2">
      <c r="K233" s="41"/>
      <c r="L233" s="41"/>
      <c r="M233" s="41"/>
      <c r="N233" s="41"/>
      <c r="O233" s="41"/>
      <c r="P233" s="44"/>
      <c r="Q233" s="44"/>
      <c r="R233" s="44"/>
      <c r="T233" s="41"/>
      <c r="U233" s="41"/>
      <c r="V233" s="41"/>
      <c r="W233" s="41"/>
      <c r="X233" s="41"/>
      <c r="Y233" s="44"/>
      <c r="Z233" s="44"/>
      <c r="AA233" s="44"/>
      <c r="AC233" s="41"/>
      <c r="AD233" s="41"/>
      <c r="AE233" s="41"/>
      <c r="AF233" s="41"/>
      <c r="AG233" s="41"/>
      <c r="AH233" s="44"/>
      <c r="AI233" s="44"/>
      <c r="AJ233" s="44"/>
    </row>
    <row r="234" spans="11:36" x14ac:dyDescent="0.2">
      <c r="K234" s="41"/>
      <c r="L234" s="41"/>
      <c r="M234" s="41"/>
      <c r="N234" s="41"/>
      <c r="O234" s="41"/>
      <c r="P234" s="44"/>
      <c r="Q234" s="44"/>
      <c r="R234" s="44"/>
      <c r="T234" s="41"/>
      <c r="U234" s="41"/>
      <c r="V234" s="41"/>
      <c r="W234" s="41"/>
      <c r="X234" s="41"/>
      <c r="Y234" s="44"/>
      <c r="Z234" s="44"/>
      <c r="AA234" s="44"/>
      <c r="AC234" s="41"/>
      <c r="AD234" s="41"/>
      <c r="AE234" s="41"/>
      <c r="AF234" s="41"/>
      <c r="AG234" s="41"/>
      <c r="AH234" s="44"/>
      <c r="AI234" s="44"/>
      <c r="AJ234" s="44"/>
    </row>
    <row r="235" spans="11:36" x14ac:dyDescent="0.2">
      <c r="K235" s="41"/>
      <c r="L235" s="41"/>
      <c r="M235" s="41"/>
      <c r="N235" s="41"/>
      <c r="O235" s="41"/>
      <c r="P235" s="44"/>
      <c r="Q235" s="44"/>
      <c r="R235" s="44"/>
      <c r="T235" s="41"/>
      <c r="U235" s="41"/>
      <c r="V235" s="41"/>
      <c r="W235" s="41"/>
      <c r="X235" s="41"/>
      <c r="Y235" s="44"/>
      <c r="Z235" s="44"/>
      <c r="AA235" s="44"/>
      <c r="AC235" s="41"/>
      <c r="AD235" s="41"/>
      <c r="AE235" s="41"/>
      <c r="AF235" s="41"/>
      <c r="AG235" s="41"/>
      <c r="AH235" s="44"/>
      <c r="AI235" s="44"/>
      <c r="AJ235" s="44"/>
    </row>
    <row r="236" spans="11:36" x14ac:dyDescent="0.2">
      <c r="K236" s="41"/>
      <c r="L236" s="41"/>
      <c r="M236" s="41"/>
      <c r="N236" s="41"/>
      <c r="O236" s="41"/>
      <c r="P236" s="44"/>
      <c r="Q236" s="44"/>
      <c r="R236" s="44"/>
      <c r="T236" s="41"/>
      <c r="U236" s="41"/>
      <c r="V236" s="41"/>
      <c r="W236" s="41"/>
      <c r="X236" s="41"/>
      <c r="Y236" s="44"/>
      <c r="Z236" s="44"/>
      <c r="AA236" s="44"/>
      <c r="AC236" s="41"/>
      <c r="AD236" s="41"/>
      <c r="AE236" s="41"/>
      <c r="AF236" s="41"/>
      <c r="AG236" s="41"/>
      <c r="AH236" s="44"/>
      <c r="AI236" s="44"/>
      <c r="AJ236" s="44"/>
    </row>
    <row r="237" spans="11:36" x14ac:dyDescent="0.2">
      <c r="K237" s="41"/>
      <c r="L237" s="41"/>
      <c r="M237" s="41"/>
      <c r="N237" s="41"/>
      <c r="O237" s="41"/>
      <c r="P237" s="44"/>
      <c r="Q237" s="44"/>
      <c r="R237" s="44"/>
      <c r="T237" s="41"/>
      <c r="U237" s="41"/>
      <c r="V237" s="41"/>
      <c r="W237" s="41"/>
      <c r="X237" s="41"/>
      <c r="Y237" s="44"/>
      <c r="Z237" s="44"/>
      <c r="AA237" s="44"/>
      <c r="AC237" s="41"/>
      <c r="AD237" s="41"/>
      <c r="AE237" s="41"/>
      <c r="AF237" s="41"/>
      <c r="AG237" s="41"/>
      <c r="AH237" s="44"/>
      <c r="AI237" s="44"/>
      <c r="AJ237" s="44"/>
    </row>
    <row r="238" spans="11:36" x14ac:dyDescent="0.2">
      <c r="K238" s="41"/>
      <c r="L238" s="41"/>
      <c r="M238" s="41"/>
      <c r="N238" s="41"/>
      <c r="O238" s="41"/>
      <c r="P238" s="44"/>
      <c r="Q238" s="44"/>
      <c r="R238" s="44"/>
      <c r="T238" s="41"/>
      <c r="U238" s="41"/>
      <c r="V238" s="41"/>
      <c r="W238" s="41"/>
      <c r="X238" s="41"/>
      <c r="Y238" s="44"/>
      <c r="Z238" s="44"/>
      <c r="AA238" s="44"/>
      <c r="AC238" s="41"/>
      <c r="AD238" s="41"/>
      <c r="AE238" s="41"/>
      <c r="AF238" s="41"/>
      <c r="AG238" s="41"/>
      <c r="AH238" s="44"/>
      <c r="AI238" s="44"/>
      <c r="AJ238" s="44"/>
    </row>
    <row r="239" spans="11:36" x14ac:dyDescent="0.2">
      <c r="K239" s="41"/>
      <c r="L239" s="41"/>
      <c r="M239" s="41"/>
      <c r="N239" s="41"/>
      <c r="O239" s="41"/>
      <c r="P239" s="44"/>
      <c r="Q239" s="44"/>
      <c r="R239" s="44"/>
      <c r="T239" s="41"/>
      <c r="U239" s="41"/>
      <c r="V239" s="41"/>
      <c r="W239" s="41"/>
      <c r="X239" s="41"/>
      <c r="Y239" s="44"/>
      <c r="Z239" s="44"/>
      <c r="AA239" s="44"/>
      <c r="AC239" s="41"/>
      <c r="AD239" s="41"/>
      <c r="AE239" s="41"/>
      <c r="AF239" s="41"/>
      <c r="AG239" s="41"/>
      <c r="AH239" s="44"/>
      <c r="AI239" s="44"/>
      <c r="AJ239" s="44"/>
    </row>
    <row r="240" spans="11:36" x14ac:dyDescent="0.2">
      <c r="K240" s="41"/>
      <c r="L240" s="41"/>
      <c r="M240" s="41"/>
      <c r="N240" s="41"/>
      <c r="O240" s="41"/>
      <c r="P240" s="44"/>
      <c r="Q240" s="44"/>
      <c r="R240" s="44"/>
      <c r="T240" s="41"/>
      <c r="U240" s="41"/>
      <c r="V240" s="41"/>
      <c r="W240" s="41"/>
      <c r="X240" s="41"/>
      <c r="Y240" s="44"/>
      <c r="Z240" s="44"/>
      <c r="AA240" s="44"/>
      <c r="AC240" s="41"/>
      <c r="AD240" s="41"/>
      <c r="AE240" s="41"/>
      <c r="AF240" s="41"/>
      <c r="AG240" s="41"/>
      <c r="AH240" s="44"/>
      <c r="AI240" s="44"/>
      <c r="AJ240" s="44"/>
    </row>
    <row r="241" spans="11:36" x14ac:dyDescent="0.2">
      <c r="K241" s="41"/>
      <c r="L241" s="41"/>
      <c r="M241" s="41"/>
      <c r="N241" s="41"/>
      <c r="O241" s="41"/>
      <c r="P241" s="44"/>
      <c r="Q241" s="44"/>
      <c r="R241" s="44"/>
      <c r="T241" s="41"/>
      <c r="U241" s="41"/>
      <c r="V241" s="41"/>
      <c r="W241" s="41"/>
      <c r="X241" s="41"/>
      <c r="Y241" s="44"/>
      <c r="Z241" s="44"/>
      <c r="AA241" s="44"/>
      <c r="AC241" s="41"/>
      <c r="AD241" s="41"/>
      <c r="AE241" s="41"/>
      <c r="AF241" s="41"/>
      <c r="AG241" s="41"/>
      <c r="AH241" s="44"/>
      <c r="AI241" s="44"/>
      <c r="AJ241" s="44"/>
    </row>
    <row r="242" spans="11:36" x14ac:dyDescent="0.2">
      <c r="K242" s="41"/>
      <c r="L242" s="41"/>
      <c r="M242" s="41"/>
      <c r="N242" s="41"/>
      <c r="O242" s="41"/>
      <c r="P242" s="44"/>
      <c r="Q242" s="44"/>
      <c r="R242" s="44"/>
      <c r="T242" s="41"/>
      <c r="U242" s="41"/>
      <c r="V242" s="41"/>
      <c r="W242" s="41"/>
      <c r="X242" s="41"/>
      <c r="Y242" s="44"/>
      <c r="Z242" s="44"/>
      <c r="AA242" s="44"/>
      <c r="AC242" s="41"/>
      <c r="AD242" s="41"/>
      <c r="AE242" s="41"/>
      <c r="AF242" s="41"/>
      <c r="AG242" s="41"/>
      <c r="AH242" s="44"/>
      <c r="AI242" s="44"/>
      <c r="AJ242" s="44"/>
    </row>
    <row r="243" spans="11:36" x14ac:dyDescent="0.2">
      <c r="K243" s="41"/>
      <c r="L243" s="41"/>
      <c r="M243" s="41"/>
      <c r="N243" s="41"/>
      <c r="O243" s="41"/>
      <c r="P243" s="44"/>
      <c r="Q243" s="44"/>
      <c r="R243" s="44"/>
      <c r="T243" s="41"/>
      <c r="U243" s="41"/>
      <c r="V243" s="41"/>
      <c r="W243" s="41"/>
      <c r="X243" s="41"/>
      <c r="Y243" s="44"/>
      <c r="Z243" s="44"/>
      <c r="AA243" s="44"/>
      <c r="AC243" s="41"/>
      <c r="AD243" s="41"/>
      <c r="AE243" s="41"/>
      <c r="AF243" s="41"/>
      <c r="AG243" s="41"/>
      <c r="AH243" s="44"/>
      <c r="AI243" s="44"/>
      <c r="AJ243" s="44"/>
    </row>
    <row r="244" spans="11:36" x14ac:dyDescent="0.2">
      <c r="K244" s="41"/>
      <c r="L244" s="41"/>
      <c r="M244" s="41"/>
      <c r="N244" s="41"/>
      <c r="O244" s="41"/>
      <c r="P244" s="44"/>
      <c r="Q244" s="44"/>
      <c r="R244" s="44"/>
      <c r="T244" s="41"/>
      <c r="U244" s="41"/>
      <c r="V244" s="41"/>
      <c r="W244" s="41"/>
      <c r="X244" s="41"/>
      <c r="Y244" s="44"/>
      <c r="Z244" s="44"/>
      <c r="AA244" s="44"/>
      <c r="AC244" s="41"/>
      <c r="AD244" s="41"/>
      <c r="AE244" s="41"/>
      <c r="AF244" s="41"/>
      <c r="AG244" s="41"/>
      <c r="AH244" s="44"/>
      <c r="AI244" s="44"/>
      <c r="AJ244" s="44"/>
    </row>
    <row r="245" spans="11:36" x14ac:dyDescent="0.2">
      <c r="K245" s="41"/>
      <c r="L245" s="41"/>
      <c r="M245" s="41"/>
      <c r="N245" s="41"/>
      <c r="O245" s="41"/>
      <c r="P245" s="44"/>
      <c r="Q245" s="44"/>
      <c r="R245" s="44"/>
      <c r="T245" s="41"/>
      <c r="U245" s="41"/>
      <c r="V245" s="41"/>
      <c r="W245" s="41"/>
      <c r="X245" s="41"/>
      <c r="Y245" s="44"/>
      <c r="Z245" s="44"/>
      <c r="AA245" s="44"/>
      <c r="AC245" s="41"/>
      <c r="AD245" s="41"/>
      <c r="AE245" s="41"/>
      <c r="AF245" s="41"/>
      <c r="AG245" s="41"/>
      <c r="AH245" s="44"/>
      <c r="AI245" s="44"/>
      <c r="AJ245" s="44"/>
    </row>
    <row r="246" spans="11:36" x14ac:dyDescent="0.2">
      <c r="K246" s="41"/>
      <c r="L246" s="41"/>
      <c r="M246" s="41"/>
      <c r="N246" s="41"/>
      <c r="O246" s="41"/>
      <c r="P246" s="44"/>
      <c r="Q246" s="44"/>
      <c r="R246" s="44"/>
      <c r="T246" s="41"/>
      <c r="U246" s="41"/>
      <c r="V246" s="41"/>
      <c r="W246" s="41"/>
      <c r="X246" s="41"/>
      <c r="Y246" s="44"/>
      <c r="Z246" s="44"/>
      <c r="AA246" s="44"/>
      <c r="AC246" s="41"/>
      <c r="AD246" s="41"/>
      <c r="AE246" s="41"/>
      <c r="AF246" s="41"/>
      <c r="AG246" s="41"/>
      <c r="AH246" s="44"/>
      <c r="AI246" s="44"/>
      <c r="AJ246" s="44"/>
    </row>
    <row r="247" spans="11:36" x14ac:dyDescent="0.2">
      <c r="K247" s="41"/>
      <c r="L247" s="41"/>
      <c r="M247" s="41"/>
      <c r="N247" s="41"/>
      <c r="O247" s="41"/>
      <c r="P247" s="44"/>
      <c r="Q247" s="44"/>
      <c r="R247" s="44"/>
      <c r="T247" s="41"/>
      <c r="U247" s="41"/>
      <c r="V247" s="41"/>
      <c r="W247" s="41"/>
      <c r="X247" s="41"/>
      <c r="Y247" s="44"/>
      <c r="Z247" s="44"/>
      <c r="AA247" s="44"/>
      <c r="AC247" s="41"/>
      <c r="AD247" s="41"/>
      <c r="AE247" s="41"/>
      <c r="AF247" s="41"/>
      <c r="AG247" s="41"/>
      <c r="AH247" s="44"/>
      <c r="AI247" s="44"/>
      <c r="AJ247" s="44"/>
    </row>
    <row r="248" spans="11:36" x14ac:dyDescent="0.2">
      <c r="K248" s="41"/>
      <c r="L248" s="41"/>
      <c r="M248" s="41"/>
      <c r="N248" s="41"/>
      <c r="O248" s="41"/>
      <c r="P248" s="44"/>
      <c r="Q248" s="44"/>
      <c r="R248" s="44"/>
      <c r="T248" s="41"/>
      <c r="U248" s="41"/>
      <c r="V248" s="41"/>
      <c r="W248" s="41"/>
      <c r="X248" s="41"/>
      <c r="Y248" s="44"/>
      <c r="Z248" s="44"/>
      <c r="AA248" s="44"/>
      <c r="AC248" s="41"/>
      <c r="AD248" s="41"/>
      <c r="AE248" s="41"/>
      <c r="AF248" s="41"/>
      <c r="AG248" s="41"/>
      <c r="AH248" s="44"/>
      <c r="AI248" s="44"/>
      <c r="AJ248" s="44"/>
    </row>
    <row r="249" spans="11:36" x14ac:dyDescent="0.2">
      <c r="K249" s="41"/>
      <c r="L249" s="41"/>
      <c r="M249" s="41"/>
      <c r="N249" s="41"/>
      <c r="O249" s="41"/>
      <c r="P249" s="44"/>
      <c r="Q249" s="44"/>
      <c r="R249" s="44"/>
      <c r="T249" s="41"/>
      <c r="U249" s="41"/>
      <c r="V249" s="41"/>
      <c r="W249" s="41"/>
      <c r="X249" s="41"/>
      <c r="Y249" s="44"/>
      <c r="Z249" s="44"/>
      <c r="AA249" s="44"/>
      <c r="AC249" s="41"/>
      <c r="AD249" s="41"/>
      <c r="AE249" s="41"/>
      <c r="AF249" s="41"/>
      <c r="AG249" s="41"/>
      <c r="AH249" s="44"/>
      <c r="AI249" s="44"/>
      <c r="AJ249" s="44"/>
    </row>
    <row r="250" spans="11:36" x14ac:dyDescent="0.2">
      <c r="K250" s="41"/>
      <c r="L250" s="41"/>
      <c r="M250" s="41"/>
      <c r="N250" s="41"/>
      <c r="O250" s="41"/>
      <c r="P250" s="44"/>
      <c r="Q250" s="44"/>
      <c r="R250" s="44"/>
      <c r="T250" s="41"/>
      <c r="U250" s="41"/>
      <c r="V250" s="41"/>
      <c r="W250" s="41"/>
      <c r="X250" s="41"/>
      <c r="Y250" s="44"/>
      <c r="Z250" s="44"/>
      <c r="AA250" s="44"/>
      <c r="AC250" s="41"/>
      <c r="AD250" s="41"/>
      <c r="AE250" s="41"/>
      <c r="AF250" s="41"/>
      <c r="AG250" s="41"/>
      <c r="AH250" s="44"/>
      <c r="AI250" s="44"/>
      <c r="AJ250" s="44"/>
    </row>
    <row r="251" spans="11:36" x14ac:dyDescent="0.2">
      <c r="K251" s="41"/>
      <c r="L251" s="41"/>
      <c r="M251" s="41"/>
      <c r="N251" s="41"/>
      <c r="O251" s="41"/>
      <c r="P251" s="44"/>
      <c r="Q251" s="44"/>
      <c r="R251" s="44"/>
      <c r="T251" s="41"/>
      <c r="U251" s="41"/>
      <c r="V251" s="41"/>
      <c r="W251" s="41"/>
      <c r="X251" s="41"/>
      <c r="Y251" s="44"/>
      <c r="Z251" s="44"/>
      <c r="AA251" s="44"/>
      <c r="AC251" s="41"/>
      <c r="AD251" s="41"/>
      <c r="AE251" s="41"/>
      <c r="AF251" s="41"/>
      <c r="AG251" s="41"/>
      <c r="AH251" s="44"/>
      <c r="AI251" s="44"/>
      <c r="AJ251" s="44"/>
    </row>
    <row r="252" spans="11:36" x14ac:dyDescent="0.2">
      <c r="K252" s="41"/>
      <c r="L252" s="41"/>
      <c r="M252" s="41"/>
      <c r="N252" s="41"/>
      <c r="O252" s="41"/>
      <c r="P252" s="44"/>
      <c r="Q252" s="44"/>
      <c r="R252" s="44"/>
      <c r="T252" s="41"/>
      <c r="U252" s="41"/>
      <c r="V252" s="41"/>
      <c r="W252" s="41"/>
      <c r="X252" s="41"/>
      <c r="Y252" s="44"/>
      <c r="Z252" s="44"/>
      <c r="AA252" s="44"/>
      <c r="AC252" s="41"/>
      <c r="AD252" s="41"/>
      <c r="AE252" s="41"/>
      <c r="AF252" s="41"/>
      <c r="AG252" s="41"/>
      <c r="AH252" s="44"/>
      <c r="AI252" s="44"/>
      <c r="AJ252" s="44"/>
    </row>
    <row r="253" spans="11:36" x14ac:dyDescent="0.2">
      <c r="K253" s="41"/>
      <c r="L253" s="41"/>
      <c r="M253" s="41"/>
      <c r="N253" s="41"/>
      <c r="O253" s="41"/>
      <c r="P253" s="44"/>
      <c r="Q253" s="44"/>
      <c r="R253" s="44"/>
      <c r="T253" s="41"/>
      <c r="U253" s="41"/>
      <c r="V253" s="41"/>
      <c r="W253" s="41"/>
      <c r="X253" s="41"/>
      <c r="Y253" s="44"/>
      <c r="Z253" s="44"/>
      <c r="AA253" s="44"/>
      <c r="AC253" s="41"/>
      <c r="AD253" s="41"/>
      <c r="AE253" s="41"/>
      <c r="AF253" s="41"/>
      <c r="AG253" s="41"/>
      <c r="AH253" s="44"/>
      <c r="AI253" s="44"/>
      <c r="AJ253" s="44"/>
    </row>
    <row r="254" spans="11:36" x14ac:dyDescent="0.2">
      <c r="K254" s="41"/>
      <c r="L254" s="41"/>
      <c r="M254" s="41"/>
      <c r="N254" s="41"/>
      <c r="O254" s="41"/>
      <c r="P254" s="44"/>
      <c r="Q254" s="44"/>
      <c r="R254" s="44"/>
      <c r="T254" s="41"/>
      <c r="U254" s="41"/>
      <c r="V254" s="41"/>
      <c r="W254" s="41"/>
      <c r="X254" s="41"/>
      <c r="Y254" s="44"/>
      <c r="Z254" s="44"/>
      <c r="AA254" s="44"/>
      <c r="AC254" s="41"/>
      <c r="AD254" s="41"/>
      <c r="AE254" s="41"/>
      <c r="AF254" s="41"/>
      <c r="AG254" s="41"/>
      <c r="AH254" s="44"/>
      <c r="AI254" s="44"/>
      <c r="AJ254" s="44"/>
    </row>
    <row r="255" spans="11:36" x14ac:dyDescent="0.2">
      <c r="K255" s="41"/>
      <c r="L255" s="41"/>
      <c r="M255" s="41"/>
      <c r="N255" s="41"/>
      <c r="O255" s="41"/>
      <c r="P255" s="44"/>
      <c r="Q255" s="44"/>
      <c r="R255" s="44"/>
      <c r="T255" s="41"/>
      <c r="U255" s="41"/>
      <c r="V255" s="41"/>
      <c r="W255" s="41"/>
      <c r="X255" s="41"/>
      <c r="Y255" s="44"/>
      <c r="Z255" s="44"/>
      <c r="AA255" s="44"/>
      <c r="AC255" s="41"/>
      <c r="AD255" s="41"/>
      <c r="AE255" s="41"/>
      <c r="AF255" s="41"/>
      <c r="AG255" s="41"/>
      <c r="AH255" s="44"/>
      <c r="AI255" s="44"/>
      <c r="AJ255" s="44"/>
    </row>
    <row r="256" spans="11:36" x14ac:dyDescent="0.2">
      <c r="K256" s="41"/>
      <c r="L256" s="41"/>
      <c r="M256" s="41"/>
      <c r="N256" s="41"/>
      <c r="O256" s="41"/>
      <c r="P256" s="44"/>
      <c r="Q256" s="44"/>
      <c r="R256" s="44"/>
      <c r="T256" s="41"/>
      <c r="U256" s="41"/>
      <c r="V256" s="41"/>
      <c r="W256" s="41"/>
      <c r="X256" s="41"/>
      <c r="Y256" s="44"/>
      <c r="Z256" s="44"/>
      <c r="AA256" s="44"/>
      <c r="AC256" s="41"/>
      <c r="AD256" s="41"/>
      <c r="AE256" s="41"/>
      <c r="AF256" s="41"/>
      <c r="AG256" s="41"/>
      <c r="AH256" s="44"/>
      <c r="AI256" s="44"/>
      <c r="AJ256" s="44"/>
    </row>
    <row r="257" spans="11:36" x14ac:dyDescent="0.2">
      <c r="K257" s="41"/>
      <c r="L257" s="41"/>
      <c r="M257" s="41"/>
      <c r="N257" s="41"/>
      <c r="O257" s="41"/>
      <c r="P257" s="44"/>
      <c r="Q257" s="44"/>
      <c r="R257" s="44"/>
      <c r="T257" s="41"/>
      <c r="U257" s="41"/>
      <c r="V257" s="41"/>
      <c r="W257" s="41"/>
      <c r="X257" s="41"/>
      <c r="Y257" s="44"/>
      <c r="Z257" s="44"/>
      <c r="AA257" s="44"/>
      <c r="AC257" s="41"/>
      <c r="AD257" s="41"/>
      <c r="AE257" s="41"/>
      <c r="AF257" s="41"/>
      <c r="AG257" s="41"/>
      <c r="AH257" s="44"/>
      <c r="AI257" s="44"/>
      <c r="AJ257" s="44"/>
    </row>
    <row r="258" spans="11:36" x14ac:dyDescent="0.2">
      <c r="K258" s="41"/>
      <c r="L258" s="41"/>
      <c r="M258" s="41"/>
      <c r="N258" s="41"/>
      <c r="O258" s="41"/>
      <c r="P258" s="44"/>
      <c r="Q258" s="44"/>
      <c r="R258" s="44"/>
      <c r="T258" s="41"/>
      <c r="U258" s="41"/>
      <c r="V258" s="41"/>
      <c r="W258" s="41"/>
      <c r="X258" s="41"/>
      <c r="Y258" s="44"/>
      <c r="Z258" s="44"/>
      <c r="AA258" s="44"/>
      <c r="AC258" s="41"/>
      <c r="AD258" s="41"/>
      <c r="AE258" s="41"/>
      <c r="AF258" s="41"/>
      <c r="AG258" s="41"/>
      <c r="AH258" s="44"/>
      <c r="AI258" s="44"/>
      <c r="AJ258" s="44"/>
    </row>
    <row r="259" spans="11:36" x14ac:dyDescent="0.2">
      <c r="K259" s="41"/>
      <c r="L259" s="41"/>
      <c r="M259" s="41"/>
      <c r="N259" s="41"/>
      <c r="O259" s="41"/>
      <c r="P259" s="44"/>
      <c r="Q259" s="44"/>
      <c r="R259" s="44"/>
      <c r="T259" s="41"/>
      <c r="U259" s="41"/>
      <c r="V259" s="41"/>
      <c r="W259" s="41"/>
      <c r="X259" s="41"/>
      <c r="Y259" s="44"/>
      <c r="Z259" s="44"/>
      <c r="AA259" s="44"/>
      <c r="AC259" s="41"/>
      <c r="AD259" s="41"/>
      <c r="AE259" s="41"/>
      <c r="AF259" s="41"/>
      <c r="AG259" s="41"/>
      <c r="AH259" s="44"/>
      <c r="AI259" s="44"/>
      <c r="AJ259" s="44"/>
    </row>
    <row r="260" spans="11:36" x14ac:dyDescent="0.2">
      <c r="K260" s="41"/>
      <c r="L260" s="41"/>
      <c r="M260" s="41"/>
      <c r="N260" s="41"/>
      <c r="O260" s="41"/>
      <c r="P260" s="44"/>
      <c r="Q260" s="44"/>
      <c r="R260" s="44"/>
      <c r="T260" s="41"/>
      <c r="U260" s="41"/>
      <c r="V260" s="41"/>
      <c r="W260" s="41"/>
      <c r="X260" s="41"/>
      <c r="Y260" s="44"/>
      <c r="Z260" s="44"/>
      <c r="AA260" s="44"/>
      <c r="AC260" s="41"/>
      <c r="AD260" s="41"/>
      <c r="AE260" s="41"/>
      <c r="AF260" s="41"/>
      <c r="AG260" s="41"/>
      <c r="AH260" s="44"/>
      <c r="AI260" s="44"/>
      <c r="AJ260" s="44"/>
    </row>
    <row r="261" spans="11:36" x14ac:dyDescent="0.2">
      <c r="K261" s="41"/>
      <c r="L261" s="41"/>
      <c r="M261" s="41"/>
      <c r="N261" s="41"/>
      <c r="O261" s="41"/>
      <c r="P261" s="44"/>
      <c r="Q261" s="44"/>
      <c r="R261" s="44"/>
      <c r="T261" s="41"/>
      <c r="U261" s="41"/>
      <c r="V261" s="41"/>
      <c r="W261" s="41"/>
      <c r="X261" s="41"/>
      <c r="Y261" s="44"/>
      <c r="Z261" s="44"/>
      <c r="AA261" s="44"/>
      <c r="AC261" s="41"/>
      <c r="AD261" s="41"/>
      <c r="AE261" s="41"/>
      <c r="AF261" s="41"/>
      <c r="AG261" s="41"/>
      <c r="AH261" s="44"/>
      <c r="AI261" s="44"/>
      <c r="AJ261" s="44"/>
    </row>
    <row r="262" spans="11:36" x14ac:dyDescent="0.2">
      <c r="K262" s="41"/>
      <c r="L262" s="41"/>
      <c r="M262" s="41"/>
      <c r="N262" s="41"/>
      <c r="O262" s="41"/>
      <c r="P262" s="44"/>
      <c r="Q262" s="44"/>
      <c r="R262" s="44"/>
      <c r="T262" s="41"/>
      <c r="U262" s="41"/>
      <c r="V262" s="41"/>
      <c r="W262" s="41"/>
      <c r="X262" s="41"/>
      <c r="Y262" s="44"/>
      <c r="Z262" s="44"/>
      <c r="AA262" s="44"/>
      <c r="AC262" s="41"/>
      <c r="AD262" s="41"/>
      <c r="AE262" s="41"/>
      <c r="AF262" s="41"/>
      <c r="AG262" s="41"/>
      <c r="AH262" s="44"/>
      <c r="AI262" s="44"/>
      <c r="AJ262" s="44"/>
    </row>
    <row r="263" spans="11:36" x14ac:dyDescent="0.2">
      <c r="K263" s="41"/>
      <c r="L263" s="41"/>
      <c r="M263" s="41"/>
      <c r="N263" s="41"/>
      <c r="O263" s="41"/>
      <c r="P263" s="44"/>
      <c r="Q263" s="44"/>
      <c r="R263" s="44"/>
      <c r="T263" s="41"/>
      <c r="U263" s="41"/>
      <c r="V263" s="41"/>
      <c r="W263" s="41"/>
      <c r="X263" s="41"/>
      <c r="Y263" s="44"/>
      <c r="Z263" s="44"/>
      <c r="AA263" s="44"/>
      <c r="AC263" s="41"/>
      <c r="AD263" s="41"/>
      <c r="AE263" s="41"/>
      <c r="AF263" s="41"/>
      <c r="AG263" s="41"/>
      <c r="AH263" s="44"/>
      <c r="AI263" s="44"/>
      <c r="AJ263" s="44"/>
    </row>
    <row r="264" spans="11:36" x14ac:dyDescent="0.2">
      <c r="K264" s="41"/>
      <c r="L264" s="41"/>
      <c r="M264" s="41"/>
      <c r="N264" s="41"/>
      <c r="O264" s="41"/>
      <c r="P264" s="44"/>
      <c r="Q264" s="44"/>
      <c r="R264" s="44"/>
      <c r="T264" s="41"/>
      <c r="U264" s="41"/>
      <c r="V264" s="41"/>
      <c r="W264" s="41"/>
      <c r="X264" s="41"/>
      <c r="Y264" s="44"/>
      <c r="Z264" s="44"/>
      <c r="AA264" s="44"/>
      <c r="AC264" s="41"/>
      <c r="AD264" s="41"/>
      <c r="AE264" s="41"/>
      <c r="AF264" s="41"/>
      <c r="AG264" s="41"/>
      <c r="AH264" s="44"/>
      <c r="AI264" s="44"/>
      <c r="AJ264" s="44"/>
    </row>
    <row r="265" spans="11:36" x14ac:dyDescent="0.2">
      <c r="K265" s="41"/>
      <c r="L265" s="41"/>
      <c r="M265" s="41"/>
      <c r="N265" s="41"/>
      <c r="O265" s="41"/>
      <c r="P265" s="44"/>
      <c r="Q265" s="44"/>
      <c r="R265" s="44"/>
      <c r="T265" s="41"/>
      <c r="U265" s="41"/>
      <c r="V265" s="41"/>
      <c r="W265" s="41"/>
      <c r="X265" s="41"/>
      <c r="Y265" s="44"/>
      <c r="Z265" s="44"/>
      <c r="AA265" s="44"/>
      <c r="AC265" s="41"/>
      <c r="AD265" s="41"/>
      <c r="AE265" s="41"/>
      <c r="AF265" s="41"/>
      <c r="AG265" s="41"/>
      <c r="AH265" s="44"/>
      <c r="AI265" s="44"/>
      <c r="AJ265" s="44"/>
    </row>
    <row r="266" spans="11:36" x14ac:dyDescent="0.2">
      <c r="K266" s="41"/>
      <c r="L266" s="41"/>
      <c r="M266" s="41"/>
      <c r="N266" s="41"/>
      <c r="O266" s="41"/>
      <c r="P266" s="44"/>
      <c r="Q266" s="44"/>
      <c r="R266" s="44"/>
      <c r="T266" s="41"/>
      <c r="U266" s="41"/>
      <c r="V266" s="41"/>
      <c r="W266" s="41"/>
      <c r="X266" s="41"/>
      <c r="Y266" s="44"/>
      <c r="Z266" s="44"/>
      <c r="AA266" s="44"/>
      <c r="AC266" s="41"/>
      <c r="AD266" s="41"/>
      <c r="AE266" s="41"/>
      <c r="AF266" s="41"/>
      <c r="AG266" s="41"/>
      <c r="AH266" s="44"/>
      <c r="AI266" s="44"/>
      <c r="AJ266" s="44"/>
    </row>
    <row r="267" spans="11:36" x14ac:dyDescent="0.2">
      <c r="K267" s="41"/>
      <c r="L267" s="41"/>
      <c r="M267" s="41"/>
      <c r="N267" s="41"/>
      <c r="O267" s="41"/>
      <c r="P267" s="44"/>
      <c r="Q267" s="44"/>
      <c r="R267" s="44"/>
      <c r="T267" s="41"/>
      <c r="U267" s="41"/>
      <c r="V267" s="41"/>
      <c r="W267" s="41"/>
      <c r="X267" s="41"/>
      <c r="Y267" s="44"/>
      <c r="Z267" s="44"/>
      <c r="AA267" s="44"/>
      <c r="AC267" s="41"/>
      <c r="AD267" s="41"/>
      <c r="AE267" s="41"/>
      <c r="AF267" s="41"/>
      <c r="AG267" s="41"/>
      <c r="AH267" s="44"/>
      <c r="AI267" s="44"/>
      <c r="AJ267" s="44"/>
    </row>
    <row r="268" spans="11:36" x14ac:dyDescent="0.2">
      <c r="K268" s="41"/>
      <c r="L268" s="41"/>
      <c r="M268" s="41"/>
      <c r="N268" s="41"/>
      <c r="O268" s="41"/>
      <c r="P268" s="44"/>
      <c r="Q268" s="44"/>
      <c r="R268" s="44"/>
      <c r="T268" s="41"/>
      <c r="U268" s="41"/>
      <c r="V268" s="41"/>
      <c r="W268" s="41"/>
      <c r="X268" s="41"/>
      <c r="Y268" s="44"/>
      <c r="Z268" s="44"/>
      <c r="AA268" s="44"/>
      <c r="AC268" s="41"/>
      <c r="AD268" s="41"/>
      <c r="AE268" s="41"/>
      <c r="AF268" s="41"/>
      <c r="AG268" s="41"/>
      <c r="AH268" s="44"/>
      <c r="AI268" s="44"/>
      <c r="AJ268" s="44"/>
    </row>
    <row r="269" spans="11:36" x14ac:dyDescent="0.2">
      <c r="K269" s="41"/>
      <c r="L269" s="41"/>
      <c r="M269" s="41"/>
      <c r="N269" s="41"/>
      <c r="O269" s="41"/>
      <c r="P269" s="44"/>
      <c r="Q269" s="44"/>
      <c r="R269" s="44"/>
      <c r="T269" s="41"/>
      <c r="U269" s="41"/>
      <c r="V269" s="41"/>
      <c r="W269" s="41"/>
      <c r="X269" s="41"/>
      <c r="Y269" s="44"/>
      <c r="Z269" s="44"/>
      <c r="AA269" s="44"/>
      <c r="AC269" s="41"/>
      <c r="AD269" s="41"/>
      <c r="AE269" s="41"/>
      <c r="AF269" s="41"/>
      <c r="AG269" s="41"/>
      <c r="AH269" s="44"/>
      <c r="AI269" s="44"/>
      <c r="AJ269" s="44"/>
    </row>
    <row r="270" spans="11:36" x14ac:dyDescent="0.2">
      <c r="K270" s="41"/>
      <c r="L270" s="41"/>
      <c r="M270" s="41"/>
      <c r="N270" s="41"/>
      <c r="O270" s="41"/>
      <c r="P270" s="44"/>
      <c r="Q270" s="44"/>
      <c r="R270" s="44"/>
      <c r="T270" s="41"/>
      <c r="U270" s="41"/>
      <c r="V270" s="41"/>
      <c r="W270" s="41"/>
      <c r="X270" s="41"/>
      <c r="Y270" s="44"/>
      <c r="Z270" s="44"/>
      <c r="AA270" s="44"/>
      <c r="AC270" s="41"/>
      <c r="AD270" s="41"/>
      <c r="AE270" s="41"/>
      <c r="AF270" s="41"/>
      <c r="AG270" s="41"/>
      <c r="AH270" s="44"/>
      <c r="AI270" s="44"/>
      <c r="AJ270" s="44"/>
    </row>
    <row r="271" spans="11:36" x14ac:dyDescent="0.2">
      <c r="K271" s="41"/>
      <c r="L271" s="41"/>
      <c r="M271" s="41"/>
      <c r="N271" s="41"/>
      <c r="O271" s="41"/>
      <c r="P271" s="44"/>
      <c r="Q271" s="44"/>
      <c r="R271" s="44"/>
      <c r="T271" s="41"/>
      <c r="U271" s="41"/>
      <c r="V271" s="41"/>
      <c r="W271" s="41"/>
      <c r="X271" s="41"/>
      <c r="Y271" s="44"/>
      <c r="Z271" s="44"/>
      <c r="AA271" s="44"/>
      <c r="AC271" s="41"/>
      <c r="AD271" s="41"/>
      <c r="AE271" s="41"/>
      <c r="AF271" s="41"/>
      <c r="AG271" s="41"/>
      <c r="AH271" s="44"/>
      <c r="AI271" s="44"/>
      <c r="AJ271" s="44"/>
    </row>
    <row r="272" spans="11:36" x14ac:dyDescent="0.2">
      <c r="K272" s="41"/>
      <c r="L272" s="41"/>
      <c r="M272" s="41"/>
      <c r="N272" s="41"/>
      <c r="O272" s="41"/>
      <c r="P272" s="44"/>
      <c r="Q272" s="44"/>
      <c r="R272" s="44"/>
      <c r="T272" s="41"/>
      <c r="U272" s="41"/>
      <c r="V272" s="41"/>
      <c r="W272" s="41"/>
      <c r="X272" s="41"/>
      <c r="Y272" s="44"/>
      <c r="Z272" s="44"/>
      <c r="AA272" s="44"/>
      <c r="AC272" s="41"/>
      <c r="AD272" s="41"/>
      <c r="AE272" s="41"/>
      <c r="AF272" s="41"/>
      <c r="AG272" s="41"/>
      <c r="AH272" s="44"/>
      <c r="AI272" s="44"/>
      <c r="AJ272" s="44"/>
    </row>
    <row r="273" spans="11:36" x14ac:dyDescent="0.2">
      <c r="K273" s="41"/>
      <c r="L273" s="41"/>
      <c r="M273" s="41"/>
      <c r="N273" s="41"/>
      <c r="O273" s="41"/>
      <c r="P273" s="44"/>
      <c r="Q273" s="44"/>
      <c r="R273" s="44"/>
      <c r="T273" s="41"/>
      <c r="U273" s="41"/>
      <c r="V273" s="41"/>
      <c r="W273" s="41"/>
      <c r="X273" s="41"/>
      <c r="Y273" s="44"/>
      <c r="Z273" s="44"/>
      <c r="AA273" s="44"/>
      <c r="AC273" s="41"/>
      <c r="AD273" s="41"/>
      <c r="AE273" s="41"/>
      <c r="AF273" s="41"/>
      <c r="AG273" s="41"/>
      <c r="AH273" s="44"/>
      <c r="AI273" s="44"/>
      <c r="AJ273" s="44"/>
    </row>
    <row r="274" spans="11:36" x14ac:dyDescent="0.2">
      <c r="K274" s="41"/>
      <c r="L274" s="41"/>
      <c r="M274" s="41"/>
      <c r="N274" s="41"/>
      <c r="O274" s="41"/>
      <c r="P274" s="44"/>
      <c r="Q274" s="44"/>
      <c r="R274" s="44"/>
      <c r="T274" s="41"/>
      <c r="U274" s="41"/>
      <c r="V274" s="41"/>
      <c r="W274" s="41"/>
      <c r="X274" s="41"/>
      <c r="Y274" s="44"/>
      <c r="Z274" s="44"/>
      <c r="AA274" s="44"/>
      <c r="AC274" s="41"/>
      <c r="AD274" s="41"/>
      <c r="AE274" s="41"/>
      <c r="AF274" s="41"/>
      <c r="AG274" s="41"/>
      <c r="AH274" s="44"/>
      <c r="AI274" s="44"/>
      <c r="AJ274" s="44"/>
    </row>
    <row r="275" spans="11:36" x14ac:dyDescent="0.2">
      <c r="K275" s="41"/>
      <c r="L275" s="41"/>
      <c r="M275" s="41"/>
      <c r="N275" s="41"/>
      <c r="O275" s="41"/>
      <c r="P275" s="44"/>
      <c r="Q275" s="44"/>
      <c r="R275" s="44"/>
      <c r="T275" s="41"/>
      <c r="U275" s="41"/>
      <c r="V275" s="41"/>
      <c r="W275" s="41"/>
      <c r="X275" s="41"/>
      <c r="Y275" s="44"/>
      <c r="Z275" s="44"/>
      <c r="AA275" s="44"/>
      <c r="AC275" s="41"/>
      <c r="AD275" s="41"/>
      <c r="AE275" s="41"/>
      <c r="AF275" s="41"/>
      <c r="AG275" s="41"/>
      <c r="AH275" s="44"/>
      <c r="AI275" s="44"/>
      <c r="AJ275" s="44"/>
    </row>
    <row r="276" spans="11:36" x14ac:dyDescent="0.2">
      <c r="K276" s="41"/>
      <c r="L276" s="41"/>
      <c r="M276" s="41"/>
      <c r="N276" s="41"/>
      <c r="O276" s="41"/>
      <c r="P276" s="44"/>
      <c r="Q276" s="44"/>
      <c r="R276" s="44"/>
      <c r="T276" s="41"/>
      <c r="U276" s="41"/>
      <c r="V276" s="41"/>
      <c r="W276" s="41"/>
      <c r="X276" s="41"/>
      <c r="Y276" s="44"/>
      <c r="Z276" s="44"/>
      <c r="AA276" s="44"/>
      <c r="AC276" s="41"/>
      <c r="AD276" s="41"/>
      <c r="AE276" s="41"/>
      <c r="AF276" s="41"/>
      <c r="AG276" s="41"/>
      <c r="AH276" s="44"/>
      <c r="AI276" s="44"/>
      <c r="AJ276" s="44"/>
    </row>
    <row r="277" spans="11:36" x14ac:dyDescent="0.2">
      <c r="K277" s="41"/>
      <c r="L277" s="41"/>
      <c r="M277" s="41"/>
      <c r="N277" s="41"/>
      <c r="O277" s="41"/>
      <c r="P277" s="44"/>
      <c r="Q277" s="44"/>
      <c r="R277" s="44"/>
      <c r="T277" s="41"/>
      <c r="U277" s="41"/>
      <c r="V277" s="41"/>
      <c r="W277" s="41"/>
      <c r="X277" s="41"/>
      <c r="Y277" s="44"/>
      <c r="Z277" s="44"/>
      <c r="AA277" s="44"/>
      <c r="AC277" s="41"/>
      <c r="AD277" s="41"/>
      <c r="AE277" s="41"/>
      <c r="AF277" s="41"/>
      <c r="AG277" s="41"/>
      <c r="AH277" s="44"/>
      <c r="AI277" s="44"/>
      <c r="AJ277" s="44"/>
    </row>
    <row r="278" spans="11:36" x14ac:dyDescent="0.2">
      <c r="K278" s="41"/>
      <c r="L278" s="41"/>
      <c r="M278" s="41"/>
      <c r="N278" s="41"/>
      <c r="O278" s="41"/>
      <c r="P278" s="44"/>
      <c r="Q278" s="44"/>
      <c r="R278" s="44"/>
      <c r="T278" s="41"/>
      <c r="U278" s="41"/>
      <c r="V278" s="41"/>
      <c r="W278" s="41"/>
      <c r="X278" s="41"/>
      <c r="Y278" s="44"/>
      <c r="Z278" s="44"/>
      <c r="AA278" s="44"/>
      <c r="AC278" s="41"/>
      <c r="AD278" s="41"/>
      <c r="AE278" s="41"/>
      <c r="AF278" s="41"/>
      <c r="AG278" s="41"/>
      <c r="AH278" s="44"/>
      <c r="AI278" s="44"/>
      <c r="AJ278" s="44"/>
    </row>
    <row r="279" spans="11:36" x14ac:dyDescent="0.2">
      <c r="K279" s="41"/>
      <c r="L279" s="41"/>
      <c r="M279" s="41"/>
      <c r="N279" s="41"/>
      <c r="O279" s="41"/>
      <c r="P279" s="44"/>
      <c r="Q279" s="44"/>
      <c r="R279" s="44"/>
      <c r="T279" s="41"/>
      <c r="U279" s="41"/>
      <c r="V279" s="41"/>
      <c r="W279" s="41"/>
      <c r="X279" s="41"/>
      <c r="Y279" s="44"/>
      <c r="Z279" s="44"/>
      <c r="AA279" s="44"/>
      <c r="AC279" s="41"/>
      <c r="AD279" s="41"/>
      <c r="AE279" s="41"/>
      <c r="AF279" s="41"/>
      <c r="AG279" s="41"/>
      <c r="AH279" s="44"/>
      <c r="AI279" s="44"/>
      <c r="AJ279" s="44"/>
    </row>
    <row r="280" spans="11:36" x14ac:dyDescent="0.2">
      <c r="K280" s="41"/>
      <c r="L280" s="41"/>
      <c r="M280" s="41"/>
      <c r="N280" s="41"/>
      <c r="O280" s="41"/>
      <c r="P280" s="44"/>
      <c r="Q280" s="44"/>
      <c r="R280" s="44"/>
      <c r="T280" s="41"/>
      <c r="U280" s="41"/>
      <c r="V280" s="41"/>
      <c r="W280" s="41"/>
      <c r="X280" s="41"/>
      <c r="Y280" s="44"/>
      <c r="Z280" s="44"/>
      <c r="AA280" s="44"/>
      <c r="AC280" s="41"/>
      <c r="AD280" s="41"/>
      <c r="AE280" s="41"/>
      <c r="AF280" s="41"/>
      <c r="AG280" s="41"/>
      <c r="AH280" s="44"/>
      <c r="AI280" s="44"/>
      <c r="AJ280" s="44"/>
    </row>
    <row r="281" spans="11:36" x14ac:dyDescent="0.2">
      <c r="K281" s="41"/>
      <c r="L281" s="41"/>
      <c r="M281" s="41"/>
      <c r="N281" s="41"/>
      <c r="O281" s="41"/>
      <c r="P281" s="44"/>
      <c r="Q281" s="44"/>
      <c r="R281" s="44"/>
      <c r="T281" s="41"/>
      <c r="U281" s="41"/>
      <c r="V281" s="41"/>
      <c r="W281" s="41"/>
      <c r="X281" s="41"/>
      <c r="Y281" s="44"/>
      <c r="Z281" s="44"/>
      <c r="AA281" s="44"/>
      <c r="AC281" s="41"/>
      <c r="AD281" s="41"/>
      <c r="AE281" s="41"/>
      <c r="AF281" s="41"/>
      <c r="AG281" s="41"/>
      <c r="AH281" s="44"/>
      <c r="AI281" s="44"/>
      <c r="AJ281" s="44"/>
    </row>
    <row r="282" spans="11:36" x14ac:dyDescent="0.2">
      <c r="K282" s="41"/>
      <c r="L282" s="41"/>
      <c r="M282" s="41"/>
      <c r="N282" s="41"/>
      <c r="O282" s="41"/>
      <c r="P282" s="44"/>
      <c r="Q282" s="44"/>
      <c r="R282" s="44"/>
      <c r="T282" s="41"/>
      <c r="U282" s="41"/>
      <c r="V282" s="41"/>
      <c r="W282" s="41"/>
      <c r="X282" s="41"/>
      <c r="Y282" s="44"/>
      <c r="Z282" s="44"/>
      <c r="AA282" s="44"/>
      <c r="AC282" s="41"/>
      <c r="AD282" s="41"/>
      <c r="AE282" s="41"/>
      <c r="AF282" s="41"/>
      <c r="AG282" s="41"/>
      <c r="AH282" s="44"/>
      <c r="AI282" s="44"/>
      <c r="AJ282" s="44"/>
    </row>
    <row r="283" spans="11:36" x14ac:dyDescent="0.2">
      <c r="K283" s="41"/>
      <c r="L283" s="41"/>
      <c r="M283" s="41"/>
      <c r="N283" s="41"/>
      <c r="O283" s="41"/>
      <c r="P283" s="44"/>
      <c r="Q283" s="44"/>
      <c r="R283" s="44"/>
      <c r="T283" s="41"/>
      <c r="U283" s="41"/>
      <c r="V283" s="41"/>
      <c r="W283" s="41"/>
      <c r="X283" s="41"/>
      <c r="Y283" s="44"/>
      <c r="Z283" s="44"/>
      <c r="AA283" s="44"/>
      <c r="AC283" s="41"/>
      <c r="AD283" s="41"/>
      <c r="AE283" s="41"/>
      <c r="AF283" s="41"/>
      <c r="AG283" s="41"/>
      <c r="AH283" s="44"/>
      <c r="AI283" s="44"/>
      <c r="AJ283" s="44"/>
    </row>
    <row r="284" spans="11:36" x14ac:dyDescent="0.2">
      <c r="K284" s="41"/>
      <c r="L284" s="41"/>
      <c r="M284" s="41"/>
      <c r="N284" s="41"/>
      <c r="O284" s="41"/>
      <c r="P284" s="44"/>
      <c r="Q284" s="44"/>
      <c r="R284" s="44"/>
      <c r="T284" s="41"/>
      <c r="U284" s="41"/>
      <c r="V284" s="41"/>
      <c r="W284" s="41"/>
      <c r="X284" s="41"/>
      <c r="Y284" s="44"/>
      <c r="Z284" s="44"/>
      <c r="AA284" s="44"/>
      <c r="AC284" s="41"/>
      <c r="AD284" s="41"/>
      <c r="AE284" s="41"/>
      <c r="AF284" s="41"/>
      <c r="AG284" s="41"/>
      <c r="AH284" s="44"/>
      <c r="AI284" s="44"/>
      <c r="AJ284" s="44"/>
    </row>
    <row r="285" spans="11:36" x14ac:dyDescent="0.2">
      <c r="K285" s="41"/>
      <c r="L285" s="41"/>
      <c r="M285" s="41"/>
      <c r="N285" s="41"/>
      <c r="O285" s="41"/>
      <c r="P285" s="44"/>
      <c r="Q285" s="44"/>
      <c r="R285" s="44"/>
      <c r="T285" s="41"/>
      <c r="U285" s="41"/>
      <c r="V285" s="41"/>
      <c r="W285" s="41"/>
      <c r="X285" s="41"/>
      <c r="Y285" s="44"/>
      <c r="Z285" s="44"/>
      <c r="AA285" s="44"/>
      <c r="AC285" s="41"/>
      <c r="AD285" s="41"/>
      <c r="AE285" s="41"/>
      <c r="AF285" s="41"/>
      <c r="AG285" s="41"/>
      <c r="AH285" s="44"/>
      <c r="AI285" s="44"/>
      <c r="AJ285" s="44"/>
    </row>
    <row r="286" spans="11:36" x14ac:dyDescent="0.2">
      <c r="K286" s="41"/>
      <c r="L286" s="41"/>
      <c r="M286" s="41"/>
      <c r="N286" s="41"/>
      <c r="O286" s="41"/>
      <c r="P286" s="44"/>
      <c r="Q286" s="44"/>
      <c r="R286" s="44"/>
      <c r="T286" s="41"/>
      <c r="U286" s="41"/>
      <c r="V286" s="41"/>
      <c r="W286" s="41"/>
      <c r="X286" s="41"/>
      <c r="Y286" s="44"/>
      <c r="Z286" s="44"/>
      <c r="AA286" s="44"/>
      <c r="AC286" s="41"/>
      <c r="AD286" s="41"/>
      <c r="AE286" s="41"/>
      <c r="AF286" s="41"/>
      <c r="AG286" s="41"/>
      <c r="AH286" s="44"/>
      <c r="AI286" s="44"/>
      <c r="AJ286" s="44"/>
    </row>
    <row r="287" spans="11:36" x14ac:dyDescent="0.2">
      <c r="K287" s="41"/>
      <c r="L287" s="41"/>
      <c r="M287" s="41"/>
      <c r="N287" s="41"/>
      <c r="O287" s="41"/>
      <c r="P287" s="44"/>
      <c r="Q287" s="44"/>
      <c r="R287" s="44"/>
      <c r="T287" s="41"/>
      <c r="U287" s="41"/>
      <c r="V287" s="41"/>
      <c r="W287" s="41"/>
      <c r="X287" s="41"/>
      <c r="Y287" s="44"/>
      <c r="Z287" s="44"/>
      <c r="AA287" s="44"/>
      <c r="AC287" s="41"/>
      <c r="AD287" s="41"/>
      <c r="AE287" s="41"/>
      <c r="AF287" s="41"/>
      <c r="AG287" s="41"/>
      <c r="AH287" s="44"/>
      <c r="AI287" s="44"/>
      <c r="AJ287" s="44"/>
    </row>
    <row r="288" spans="11:36" x14ac:dyDescent="0.2">
      <c r="K288" s="41"/>
      <c r="L288" s="41"/>
      <c r="M288" s="41"/>
      <c r="N288" s="41"/>
      <c r="O288" s="41"/>
      <c r="P288" s="44"/>
      <c r="Q288" s="44"/>
      <c r="R288" s="44"/>
      <c r="T288" s="41"/>
      <c r="U288" s="41"/>
      <c r="V288" s="41"/>
      <c r="W288" s="41"/>
      <c r="X288" s="41"/>
      <c r="Y288" s="44"/>
      <c r="Z288" s="44"/>
      <c r="AA288" s="44"/>
      <c r="AC288" s="41"/>
      <c r="AD288" s="41"/>
      <c r="AE288" s="41"/>
      <c r="AF288" s="41"/>
      <c r="AG288" s="41"/>
      <c r="AH288" s="44"/>
      <c r="AI288" s="44"/>
      <c r="AJ288" s="44"/>
    </row>
    <row r="289" spans="11:36" x14ac:dyDescent="0.2">
      <c r="K289" s="41"/>
      <c r="L289" s="41"/>
      <c r="M289" s="41"/>
      <c r="N289" s="41"/>
      <c r="O289" s="41"/>
      <c r="P289" s="44"/>
      <c r="Q289" s="44"/>
      <c r="R289" s="44"/>
      <c r="T289" s="41"/>
      <c r="U289" s="41"/>
      <c r="V289" s="41"/>
      <c r="W289" s="41"/>
      <c r="X289" s="41"/>
      <c r="Y289" s="44"/>
      <c r="Z289" s="44"/>
      <c r="AA289" s="44"/>
      <c r="AC289" s="41"/>
      <c r="AD289" s="41"/>
      <c r="AE289" s="41"/>
      <c r="AF289" s="41"/>
      <c r="AG289" s="41"/>
      <c r="AH289" s="44"/>
      <c r="AI289" s="44"/>
      <c r="AJ289" s="44"/>
    </row>
    <row r="290" spans="11:36" x14ac:dyDescent="0.2">
      <c r="K290" s="41"/>
      <c r="L290" s="41"/>
      <c r="M290" s="41"/>
      <c r="N290" s="41"/>
      <c r="O290" s="41"/>
      <c r="P290" s="44"/>
      <c r="Q290" s="44"/>
      <c r="R290" s="44"/>
      <c r="T290" s="41"/>
      <c r="U290" s="41"/>
      <c r="V290" s="41"/>
      <c r="W290" s="41"/>
      <c r="X290" s="41"/>
      <c r="Y290" s="44"/>
      <c r="Z290" s="44"/>
      <c r="AA290" s="44"/>
      <c r="AC290" s="41"/>
      <c r="AD290" s="41"/>
      <c r="AE290" s="41"/>
      <c r="AF290" s="41"/>
      <c r="AG290" s="41"/>
      <c r="AH290" s="44"/>
      <c r="AI290" s="44"/>
      <c r="AJ290" s="44"/>
    </row>
    <row r="291" spans="11:36" x14ac:dyDescent="0.2">
      <c r="K291" s="41"/>
      <c r="L291" s="41"/>
      <c r="M291" s="41"/>
      <c r="N291" s="41"/>
      <c r="O291" s="41"/>
      <c r="P291" s="44"/>
      <c r="Q291" s="44"/>
      <c r="R291" s="44"/>
      <c r="T291" s="41"/>
      <c r="U291" s="41"/>
      <c r="V291" s="41"/>
      <c r="W291" s="41"/>
      <c r="X291" s="41"/>
      <c r="Y291" s="44"/>
      <c r="Z291" s="44"/>
      <c r="AA291" s="44"/>
      <c r="AC291" s="41"/>
      <c r="AD291" s="41"/>
      <c r="AE291" s="41"/>
      <c r="AF291" s="41"/>
      <c r="AG291" s="41"/>
      <c r="AH291" s="44"/>
      <c r="AI291" s="44"/>
      <c r="AJ291" s="44"/>
    </row>
    <row r="292" spans="11:36" x14ac:dyDescent="0.2">
      <c r="K292" s="41"/>
      <c r="L292" s="41"/>
      <c r="M292" s="41"/>
      <c r="N292" s="41"/>
      <c r="O292" s="41"/>
      <c r="P292" s="44"/>
      <c r="Q292" s="44"/>
      <c r="R292" s="44"/>
      <c r="T292" s="41"/>
      <c r="U292" s="41"/>
      <c r="V292" s="41"/>
      <c r="W292" s="41"/>
      <c r="X292" s="41"/>
      <c r="Y292" s="44"/>
      <c r="Z292" s="44"/>
      <c r="AA292" s="44"/>
      <c r="AC292" s="41"/>
      <c r="AD292" s="41"/>
      <c r="AE292" s="41"/>
      <c r="AF292" s="41"/>
      <c r="AG292" s="41"/>
      <c r="AH292" s="44"/>
      <c r="AI292" s="44"/>
      <c r="AJ292" s="44"/>
    </row>
    <row r="293" spans="11:36" x14ac:dyDescent="0.2">
      <c r="K293" s="41"/>
      <c r="L293" s="41"/>
      <c r="M293" s="41"/>
      <c r="N293" s="41"/>
      <c r="O293" s="41"/>
      <c r="P293" s="44"/>
      <c r="Q293" s="44"/>
      <c r="R293" s="44"/>
      <c r="T293" s="41"/>
      <c r="U293" s="41"/>
      <c r="V293" s="41"/>
      <c r="W293" s="41"/>
      <c r="X293" s="41"/>
      <c r="Y293" s="44"/>
      <c r="Z293" s="44"/>
      <c r="AA293" s="44"/>
      <c r="AC293" s="41"/>
      <c r="AD293" s="41"/>
      <c r="AE293" s="41"/>
      <c r="AF293" s="41"/>
      <c r="AG293" s="41"/>
      <c r="AH293" s="44"/>
      <c r="AI293" s="44"/>
      <c r="AJ293" s="44"/>
    </row>
    <row r="294" spans="11:36" x14ac:dyDescent="0.2">
      <c r="K294" s="41"/>
      <c r="L294" s="41"/>
      <c r="M294" s="41"/>
      <c r="N294" s="41"/>
      <c r="O294" s="41"/>
      <c r="P294" s="44"/>
      <c r="Q294" s="44"/>
      <c r="R294" s="44"/>
      <c r="T294" s="41"/>
      <c r="U294" s="41"/>
      <c r="V294" s="41"/>
      <c r="W294" s="41"/>
      <c r="X294" s="41"/>
      <c r="Y294" s="44"/>
      <c r="Z294" s="44"/>
      <c r="AA294" s="44"/>
      <c r="AC294" s="41"/>
      <c r="AD294" s="41"/>
      <c r="AE294" s="41"/>
      <c r="AF294" s="41"/>
      <c r="AG294" s="41"/>
      <c r="AH294" s="44"/>
      <c r="AI294" s="44"/>
      <c r="AJ294" s="44"/>
    </row>
    <row r="295" spans="11:36" x14ac:dyDescent="0.2">
      <c r="K295" s="41"/>
      <c r="L295" s="41"/>
      <c r="M295" s="41"/>
      <c r="N295" s="41"/>
      <c r="O295" s="41"/>
      <c r="P295" s="44"/>
      <c r="Q295" s="44"/>
      <c r="R295" s="44"/>
      <c r="T295" s="41"/>
      <c r="U295" s="41"/>
      <c r="V295" s="41"/>
      <c r="W295" s="41"/>
      <c r="X295" s="41"/>
      <c r="Y295" s="44"/>
      <c r="Z295" s="44"/>
      <c r="AA295" s="44"/>
      <c r="AC295" s="41"/>
      <c r="AD295" s="41"/>
      <c r="AE295" s="41"/>
      <c r="AF295" s="41"/>
      <c r="AG295" s="41"/>
      <c r="AH295" s="44"/>
      <c r="AI295" s="44"/>
      <c r="AJ295" s="44"/>
    </row>
    <row r="296" spans="11:36" x14ac:dyDescent="0.2">
      <c r="K296" s="41"/>
      <c r="L296" s="41"/>
      <c r="M296" s="41"/>
      <c r="N296" s="41"/>
      <c r="O296" s="41"/>
      <c r="P296" s="44"/>
      <c r="Q296" s="44"/>
      <c r="R296" s="44"/>
      <c r="T296" s="41"/>
      <c r="U296" s="41"/>
      <c r="V296" s="41"/>
      <c r="W296" s="41"/>
      <c r="X296" s="41"/>
      <c r="Y296" s="44"/>
      <c r="Z296" s="44"/>
      <c r="AA296" s="44"/>
      <c r="AC296" s="41"/>
      <c r="AD296" s="41"/>
      <c r="AE296" s="41"/>
      <c r="AF296" s="41"/>
      <c r="AG296" s="41"/>
      <c r="AH296" s="44"/>
      <c r="AI296" s="44"/>
      <c r="AJ296" s="44"/>
    </row>
    <row r="297" spans="11:36" x14ac:dyDescent="0.2">
      <c r="K297" s="41"/>
      <c r="L297" s="41"/>
      <c r="M297" s="41"/>
      <c r="N297" s="41"/>
      <c r="O297" s="41"/>
      <c r="P297" s="44"/>
      <c r="Q297" s="44"/>
      <c r="R297" s="44"/>
      <c r="T297" s="41"/>
      <c r="U297" s="41"/>
      <c r="V297" s="41"/>
      <c r="W297" s="41"/>
      <c r="X297" s="41"/>
      <c r="Y297" s="44"/>
      <c r="Z297" s="44"/>
      <c r="AA297" s="44"/>
      <c r="AC297" s="41"/>
      <c r="AD297" s="41"/>
      <c r="AE297" s="41"/>
      <c r="AF297" s="41"/>
      <c r="AG297" s="41"/>
      <c r="AH297" s="44"/>
      <c r="AI297" s="44"/>
      <c r="AJ297" s="44"/>
    </row>
    <row r="298" spans="11:36" x14ac:dyDescent="0.2">
      <c r="K298" s="41"/>
      <c r="L298" s="41"/>
      <c r="M298" s="41"/>
      <c r="N298" s="41"/>
      <c r="O298" s="41"/>
      <c r="P298" s="44"/>
      <c r="Q298" s="44"/>
      <c r="R298" s="44"/>
      <c r="T298" s="41"/>
      <c r="U298" s="41"/>
      <c r="V298" s="41"/>
      <c r="W298" s="41"/>
      <c r="X298" s="41"/>
      <c r="Y298" s="44"/>
      <c r="Z298" s="44"/>
      <c r="AA298" s="44"/>
      <c r="AC298" s="41"/>
      <c r="AD298" s="41"/>
      <c r="AE298" s="41"/>
      <c r="AF298" s="41"/>
      <c r="AG298" s="41"/>
      <c r="AH298" s="44"/>
      <c r="AI298" s="44"/>
      <c r="AJ298" s="44"/>
    </row>
    <row r="299" spans="11:36" x14ac:dyDescent="0.2">
      <c r="K299" s="41"/>
      <c r="L299" s="41"/>
      <c r="M299" s="41"/>
      <c r="N299" s="41"/>
      <c r="O299" s="41"/>
      <c r="P299" s="44"/>
      <c r="Q299" s="44"/>
      <c r="R299" s="44"/>
      <c r="T299" s="41"/>
      <c r="U299" s="41"/>
      <c r="V299" s="41"/>
      <c r="W299" s="41"/>
      <c r="X299" s="41"/>
      <c r="Y299" s="44"/>
      <c r="Z299" s="44"/>
      <c r="AA299" s="44"/>
      <c r="AC299" s="41"/>
      <c r="AD299" s="41"/>
      <c r="AE299" s="41"/>
      <c r="AF299" s="41"/>
      <c r="AG299" s="41"/>
      <c r="AH299" s="44"/>
      <c r="AI299" s="44"/>
      <c r="AJ299" s="44"/>
    </row>
    <row r="300" spans="11:36" x14ac:dyDescent="0.2">
      <c r="K300" s="41"/>
      <c r="L300" s="41"/>
      <c r="M300" s="41"/>
      <c r="N300" s="41"/>
      <c r="O300" s="41"/>
      <c r="P300" s="44"/>
      <c r="Q300" s="44"/>
      <c r="R300" s="44"/>
      <c r="T300" s="41"/>
      <c r="U300" s="41"/>
      <c r="V300" s="41"/>
      <c r="W300" s="41"/>
      <c r="X300" s="41"/>
      <c r="Y300" s="44"/>
      <c r="Z300" s="44"/>
      <c r="AA300" s="44"/>
      <c r="AC300" s="41"/>
      <c r="AD300" s="41"/>
      <c r="AE300" s="41"/>
      <c r="AF300" s="41"/>
      <c r="AG300" s="41"/>
      <c r="AH300" s="44"/>
      <c r="AI300" s="44"/>
      <c r="AJ300" s="44"/>
    </row>
    <row r="301" spans="11:36" x14ac:dyDescent="0.2">
      <c r="K301" s="41"/>
      <c r="L301" s="41"/>
      <c r="M301" s="41"/>
      <c r="N301" s="41"/>
      <c r="O301" s="41"/>
      <c r="P301" s="44"/>
      <c r="Q301" s="44"/>
      <c r="R301" s="44"/>
      <c r="T301" s="41"/>
      <c r="U301" s="41"/>
      <c r="V301" s="41"/>
      <c r="W301" s="41"/>
      <c r="X301" s="41"/>
      <c r="Y301" s="44"/>
      <c r="Z301" s="44"/>
      <c r="AA301" s="44"/>
      <c r="AC301" s="41"/>
      <c r="AD301" s="41"/>
      <c r="AE301" s="41"/>
      <c r="AF301" s="41"/>
      <c r="AG301" s="41"/>
      <c r="AH301" s="44"/>
      <c r="AI301" s="44"/>
      <c r="AJ301" s="44"/>
    </row>
    <row r="302" spans="11:36" x14ac:dyDescent="0.2">
      <c r="K302" s="41"/>
      <c r="L302" s="41"/>
      <c r="M302" s="41"/>
      <c r="N302" s="41"/>
      <c r="O302" s="41"/>
      <c r="P302" s="44"/>
      <c r="Q302" s="44"/>
      <c r="R302" s="44"/>
      <c r="T302" s="41"/>
      <c r="U302" s="41"/>
      <c r="V302" s="41"/>
      <c r="W302" s="41"/>
      <c r="X302" s="41"/>
      <c r="Y302" s="44"/>
      <c r="Z302" s="44"/>
      <c r="AA302" s="44"/>
      <c r="AC302" s="41"/>
      <c r="AD302" s="41"/>
      <c r="AE302" s="41"/>
      <c r="AF302" s="41"/>
      <c r="AG302" s="41"/>
      <c r="AH302" s="44"/>
      <c r="AI302" s="44"/>
      <c r="AJ302" s="44"/>
    </row>
    <row r="303" spans="11:36" x14ac:dyDescent="0.2">
      <c r="K303" s="41"/>
      <c r="L303" s="41"/>
      <c r="M303" s="41"/>
      <c r="N303" s="41"/>
      <c r="O303" s="41"/>
      <c r="P303" s="44"/>
      <c r="Q303" s="44"/>
      <c r="R303" s="44"/>
      <c r="T303" s="41"/>
      <c r="U303" s="41"/>
      <c r="V303" s="41"/>
      <c r="W303" s="41"/>
      <c r="X303" s="41"/>
      <c r="Y303" s="44"/>
      <c r="Z303" s="44"/>
      <c r="AA303" s="44"/>
      <c r="AC303" s="41"/>
      <c r="AD303" s="41"/>
      <c r="AE303" s="41"/>
      <c r="AF303" s="41"/>
      <c r="AG303" s="41"/>
      <c r="AH303" s="44"/>
      <c r="AI303" s="44"/>
      <c r="AJ303" s="44"/>
    </row>
    <row r="304" spans="11:36" x14ac:dyDescent="0.2">
      <c r="K304" s="41"/>
      <c r="L304" s="41"/>
      <c r="M304" s="41"/>
      <c r="N304" s="41"/>
      <c r="O304" s="41"/>
      <c r="P304" s="44"/>
      <c r="Q304" s="44"/>
      <c r="R304" s="44"/>
      <c r="T304" s="41"/>
      <c r="U304" s="41"/>
      <c r="V304" s="41"/>
      <c r="W304" s="41"/>
      <c r="X304" s="41"/>
      <c r="Y304" s="44"/>
      <c r="Z304" s="44"/>
      <c r="AA304" s="44"/>
      <c r="AC304" s="41"/>
      <c r="AD304" s="41"/>
      <c r="AE304" s="41"/>
      <c r="AF304" s="41"/>
      <c r="AG304" s="41"/>
      <c r="AH304" s="44"/>
      <c r="AI304" s="44"/>
      <c r="AJ304" s="44"/>
    </row>
    <row r="305" spans="11:36" x14ac:dyDescent="0.2">
      <c r="K305" s="41"/>
      <c r="L305" s="41"/>
      <c r="M305" s="41"/>
      <c r="N305" s="41"/>
      <c r="O305" s="41"/>
      <c r="P305" s="44"/>
      <c r="Q305" s="44"/>
      <c r="R305" s="44"/>
      <c r="T305" s="41"/>
      <c r="U305" s="41"/>
      <c r="V305" s="41"/>
      <c r="W305" s="41"/>
      <c r="X305" s="41"/>
      <c r="Y305" s="44"/>
      <c r="Z305" s="44"/>
      <c r="AA305" s="44"/>
      <c r="AC305" s="41"/>
      <c r="AD305" s="41"/>
      <c r="AE305" s="41"/>
      <c r="AF305" s="41"/>
      <c r="AG305" s="41"/>
      <c r="AH305" s="44"/>
      <c r="AI305" s="44"/>
      <c r="AJ305" s="44"/>
    </row>
    <row r="306" spans="11:36" x14ac:dyDescent="0.2">
      <c r="K306" s="41"/>
      <c r="L306" s="41"/>
      <c r="M306" s="41"/>
      <c r="N306" s="41"/>
      <c r="O306" s="41"/>
      <c r="P306" s="44"/>
      <c r="Q306" s="44"/>
      <c r="R306" s="44"/>
      <c r="T306" s="41"/>
      <c r="U306" s="41"/>
      <c r="V306" s="41"/>
      <c r="W306" s="41"/>
      <c r="X306" s="41"/>
      <c r="Y306" s="44"/>
      <c r="Z306" s="44"/>
      <c r="AA306" s="44"/>
      <c r="AC306" s="41"/>
      <c r="AD306" s="41"/>
      <c r="AE306" s="41"/>
      <c r="AF306" s="41"/>
      <c r="AG306" s="41"/>
      <c r="AH306" s="44"/>
      <c r="AI306" s="44"/>
      <c r="AJ306" s="44"/>
    </row>
    <row r="307" spans="11:36" x14ac:dyDescent="0.2">
      <c r="K307" s="41"/>
      <c r="L307" s="41"/>
      <c r="M307" s="41"/>
      <c r="N307" s="41"/>
      <c r="O307" s="41"/>
      <c r="P307" s="44"/>
      <c r="Q307" s="44"/>
      <c r="R307" s="44"/>
      <c r="T307" s="41"/>
      <c r="U307" s="41"/>
      <c r="V307" s="41"/>
      <c r="W307" s="41"/>
      <c r="X307" s="41"/>
      <c r="Y307" s="44"/>
      <c r="Z307" s="44"/>
      <c r="AA307" s="44"/>
      <c r="AC307" s="41"/>
      <c r="AD307" s="41"/>
      <c r="AE307" s="41"/>
      <c r="AF307" s="41"/>
      <c r="AG307" s="41"/>
      <c r="AH307" s="44"/>
      <c r="AI307" s="44"/>
      <c r="AJ307" s="44"/>
    </row>
    <row r="308" spans="11:36" x14ac:dyDescent="0.2">
      <c r="K308" s="41"/>
      <c r="L308" s="41"/>
      <c r="M308" s="41"/>
      <c r="N308" s="41"/>
      <c r="O308" s="41"/>
      <c r="P308" s="44"/>
      <c r="Q308" s="44"/>
      <c r="R308" s="44"/>
      <c r="T308" s="41"/>
      <c r="U308" s="41"/>
      <c r="V308" s="41"/>
      <c r="W308" s="41"/>
      <c r="X308" s="41"/>
      <c r="Y308" s="44"/>
      <c r="Z308" s="44"/>
      <c r="AA308" s="44"/>
      <c r="AC308" s="41"/>
      <c r="AD308" s="41"/>
      <c r="AE308" s="41"/>
      <c r="AF308" s="41"/>
      <c r="AG308" s="41"/>
      <c r="AH308" s="44"/>
      <c r="AI308" s="44"/>
      <c r="AJ308" s="44"/>
    </row>
    <row r="309" spans="11:36" x14ac:dyDescent="0.2">
      <c r="K309" s="41"/>
      <c r="L309" s="41"/>
      <c r="M309" s="41"/>
      <c r="N309" s="41"/>
      <c r="O309" s="41"/>
      <c r="P309" s="44"/>
      <c r="Q309" s="44"/>
      <c r="R309" s="44"/>
      <c r="T309" s="41"/>
      <c r="U309" s="41"/>
      <c r="V309" s="41"/>
      <c r="W309" s="41"/>
      <c r="X309" s="41"/>
      <c r="Y309" s="44"/>
      <c r="Z309" s="44"/>
      <c r="AA309" s="44"/>
      <c r="AC309" s="41"/>
      <c r="AD309" s="41"/>
      <c r="AE309" s="41"/>
      <c r="AF309" s="41"/>
      <c r="AG309" s="41"/>
      <c r="AH309" s="44"/>
      <c r="AI309" s="44"/>
      <c r="AJ309" s="44"/>
    </row>
    <row r="310" spans="11:36" x14ac:dyDescent="0.2">
      <c r="K310" s="41"/>
      <c r="L310" s="41"/>
      <c r="M310" s="41"/>
      <c r="N310" s="41"/>
      <c r="O310" s="41"/>
      <c r="P310" s="44"/>
      <c r="Q310" s="44"/>
      <c r="R310" s="44"/>
      <c r="T310" s="41"/>
      <c r="U310" s="41"/>
      <c r="V310" s="41"/>
      <c r="W310" s="41"/>
      <c r="X310" s="41"/>
      <c r="Y310" s="44"/>
      <c r="Z310" s="44"/>
      <c r="AA310" s="44"/>
      <c r="AC310" s="41"/>
      <c r="AD310" s="41"/>
      <c r="AE310" s="41"/>
      <c r="AF310" s="41"/>
      <c r="AG310" s="41"/>
      <c r="AH310" s="44"/>
      <c r="AI310" s="44"/>
      <c r="AJ310" s="44"/>
    </row>
    <row r="311" spans="11:36" x14ac:dyDescent="0.2">
      <c r="K311" s="41"/>
      <c r="L311" s="41"/>
      <c r="M311" s="41"/>
      <c r="N311" s="41"/>
      <c r="O311" s="41"/>
      <c r="P311" s="44"/>
      <c r="Q311" s="44"/>
      <c r="R311" s="44"/>
      <c r="T311" s="41"/>
      <c r="U311" s="41"/>
      <c r="V311" s="41"/>
      <c r="W311" s="41"/>
      <c r="X311" s="41"/>
      <c r="Y311" s="44"/>
      <c r="Z311" s="44"/>
      <c r="AA311" s="44"/>
      <c r="AC311" s="41"/>
      <c r="AD311" s="41"/>
      <c r="AE311" s="41"/>
      <c r="AF311" s="41"/>
      <c r="AG311" s="41"/>
      <c r="AH311" s="44"/>
      <c r="AI311" s="44"/>
      <c r="AJ311" s="44"/>
    </row>
    <row r="312" spans="11:36" x14ac:dyDescent="0.2">
      <c r="K312" s="41"/>
      <c r="L312" s="41"/>
      <c r="M312" s="41"/>
      <c r="N312" s="41"/>
      <c r="O312" s="41"/>
      <c r="P312" s="44"/>
      <c r="Q312" s="44"/>
      <c r="R312" s="44"/>
      <c r="T312" s="41"/>
      <c r="U312" s="41"/>
      <c r="V312" s="41"/>
      <c r="W312" s="41"/>
      <c r="X312" s="41"/>
      <c r="Y312" s="44"/>
      <c r="Z312" s="44"/>
      <c r="AA312" s="44"/>
      <c r="AC312" s="41"/>
      <c r="AD312" s="41"/>
      <c r="AE312" s="41"/>
      <c r="AF312" s="41"/>
      <c r="AG312" s="41"/>
      <c r="AH312" s="44"/>
      <c r="AI312" s="44"/>
      <c r="AJ312" s="44"/>
    </row>
    <row r="313" spans="11:36" x14ac:dyDescent="0.2">
      <c r="K313" s="41"/>
      <c r="L313" s="41"/>
      <c r="M313" s="41"/>
      <c r="N313" s="41"/>
      <c r="O313" s="41"/>
      <c r="P313" s="44"/>
      <c r="Q313" s="44"/>
      <c r="R313" s="44"/>
      <c r="T313" s="41"/>
      <c r="U313" s="41"/>
      <c r="V313" s="41"/>
      <c r="W313" s="41"/>
      <c r="X313" s="41"/>
      <c r="Y313" s="44"/>
      <c r="Z313" s="44"/>
      <c r="AA313" s="44"/>
      <c r="AC313" s="41"/>
      <c r="AD313" s="41"/>
      <c r="AE313" s="41"/>
      <c r="AF313" s="41"/>
      <c r="AG313" s="41"/>
      <c r="AH313" s="44"/>
      <c r="AI313" s="44"/>
      <c r="AJ313" s="44"/>
    </row>
    <row r="314" spans="11:36" x14ac:dyDescent="0.2">
      <c r="K314" s="41"/>
      <c r="L314" s="41"/>
      <c r="M314" s="41"/>
      <c r="N314" s="41"/>
      <c r="O314" s="41"/>
      <c r="P314" s="44"/>
      <c r="Q314" s="44"/>
      <c r="R314" s="44"/>
      <c r="T314" s="41"/>
      <c r="U314" s="41"/>
      <c r="V314" s="41"/>
      <c r="W314" s="41"/>
      <c r="X314" s="41"/>
      <c r="Y314" s="44"/>
      <c r="Z314" s="44"/>
      <c r="AA314" s="44"/>
      <c r="AC314" s="41"/>
      <c r="AD314" s="41"/>
      <c r="AE314" s="41"/>
      <c r="AF314" s="41"/>
      <c r="AG314" s="41"/>
      <c r="AH314" s="44"/>
      <c r="AI314" s="44"/>
      <c r="AJ314" s="44"/>
    </row>
    <row r="315" spans="11:36" x14ac:dyDescent="0.2">
      <c r="K315" s="41"/>
      <c r="L315" s="41"/>
      <c r="M315" s="41"/>
      <c r="N315" s="41"/>
      <c r="O315" s="41"/>
      <c r="P315" s="44"/>
      <c r="Q315" s="44"/>
      <c r="R315" s="44"/>
      <c r="T315" s="41"/>
      <c r="U315" s="41"/>
      <c r="V315" s="41"/>
      <c r="W315" s="41"/>
      <c r="X315" s="41"/>
      <c r="Y315" s="44"/>
      <c r="Z315" s="44"/>
      <c r="AA315" s="44"/>
      <c r="AC315" s="41"/>
      <c r="AD315" s="41"/>
      <c r="AE315" s="41"/>
      <c r="AF315" s="41"/>
      <c r="AG315" s="41"/>
      <c r="AH315" s="44"/>
      <c r="AI315" s="44"/>
      <c r="AJ315" s="44"/>
    </row>
    <row r="316" spans="11:36" x14ac:dyDescent="0.2">
      <c r="K316" s="41"/>
      <c r="L316" s="41"/>
      <c r="M316" s="41"/>
      <c r="N316" s="41"/>
      <c r="O316" s="41"/>
      <c r="P316" s="44"/>
      <c r="Q316" s="44"/>
      <c r="R316" s="44"/>
      <c r="T316" s="41"/>
      <c r="U316" s="41"/>
      <c r="V316" s="41"/>
      <c r="W316" s="41"/>
      <c r="X316" s="41"/>
      <c r="Y316" s="44"/>
      <c r="Z316" s="44"/>
      <c r="AA316" s="44"/>
      <c r="AC316" s="41"/>
      <c r="AD316" s="41"/>
      <c r="AE316" s="41"/>
      <c r="AF316" s="41"/>
      <c r="AG316" s="41"/>
      <c r="AH316" s="44"/>
      <c r="AI316" s="44"/>
      <c r="AJ316" s="44"/>
    </row>
    <row r="317" spans="11:36" x14ac:dyDescent="0.2">
      <c r="K317" s="41"/>
      <c r="L317" s="41"/>
      <c r="M317" s="41"/>
      <c r="N317" s="41"/>
      <c r="O317" s="41"/>
      <c r="P317" s="44"/>
      <c r="Q317" s="44"/>
      <c r="R317" s="44"/>
      <c r="T317" s="41"/>
      <c r="U317" s="41"/>
      <c r="V317" s="41"/>
      <c r="W317" s="41"/>
      <c r="X317" s="41"/>
      <c r="Y317" s="44"/>
      <c r="Z317" s="44"/>
      <c r="AA317" s="44"/>
      <c r="AC317" s="41"/>
      <c r="AD317" s="41"/>
      <c r="AE317" s="41"/>
      <c r="AF317" s="41"/>
      <c r="AG317" s="41"/>
      <c r="AH317" s="44"/>
      <c r="AI317" s="44"/>
      <c r="AJ317" s="44"/>
    </row>
    <row r="318" spans="11:36" x14ac:dyDescent="0.2">
      <c r="K318" s="41"/>
      <c r="L318" s="41"/>
      <c r="M318" s="41"/>
      <c r="N318" s="41"/>
      <c r="O318" s="41"/>
      <c r="P318" s="44"/>
      <c r="Q318" s="44"/>
      <c r="R318" s="44"/>
      <c r="T318" s="41"/>
      <c r="U318" s="41"/>
      <c r="V318" s="41"/>
      <c r="W318" s="41"/>
      <c r="X318" s="41"/>
      <c r="Y318" s="44"/>
      <c r="Z318" s="44"/>
      <c r="AA318" s="44"/>
      <c r="AC318" s="41"/>
      <c r="AD318" s="41"/>
      <c r="AE318" s="41"/>
      <c r="AF318" s="41"/>
      <c r="AG318" s="41"/>
      <c r="AH318" s="44"/>
      <c r="AI318" s="44"/>
      <c r="AJ318" s="44"/>
    </row>
    <row r="319" spans="11:36" x14ac:dyDescent="0.2">
      <c r="K319" s="41"/>
      <c r="L319" s="41"/>
      <c r="M319" s="41"/>
      <c r="N319" s="41"/>
      <c r="O319" s="41"/>
      <c r="P319" s="44"/>
      <c r="Q319" s="44"/>
      <c r="R319" s="44"/>
      <c r="T319" s="41"/>
      <c r="U319" s="41"/>
      <c r="V319" s="41"/>
      <c r="W319" s="41"/>
      <c r="X319" s="41"/>
      <c r="Y319" s="44"/>
      <c r="Z319" s="44"/>
      <c r="AA319" s="44"/>
      <c r="AC319" s="41"/>
      <c r="AD319" s="41"/>
      <c r="AE319" s="41"/>
      <c r="AF319" s="41"/>
      <c r="AG319" s="41"/>
      <c r="AH319" s="44"/>
      <c r="AI319" s="44"/>
      <c r="AJ319" s="44"/>
    </row>
    <row r="320" spans="11:36" x14ac:dyDescent="0.2">
      <c r="K320" s="41"/>
      <c r="L320" s="41"/>
      <c r="M320" s="41"/>
      <c r="N320" s="41"/>
      <c r="O320" s="41"/>
      <c r="P320" s="44"/>
      <c r="Q320" s="44"/>
      <c r="R320" s="44"/>
      <c r="T320" s="41"/>
      <c r="U320" s="41"/>
      <c r="V320" s="41"/>
      <c r="W320" s="41"/>
      <c r="X320" s="41"/>
      <c r="Y320" s="44"/>
      <c r="Z320" s="44"/>
      <c r="AA320" s="44"/>
      <c r="AC320" s="41"/>
      <c r="AD320" s="41"/>
      <c r="AE320" s="41"/>
      <c r="AF320" s="41"/>
      <c r="AG320" s="41"/>
      <c r="AH320" s="44"/>
      <c r="AI320" s="44"/>
      <c r="AJ320" s="44"/>
    </row>
    <row r="321" spans="11:36" x14ac:dyDescent="0.2">
      <c r="K321" s="41"/>
      <c r="L321" s="41"/>
      <c r="M321" s="41"/>
      <c r="N321" s="41"/>
      <c r="O321" s="41"/>
      <c r="P321" s="44"/>
      <c r="Q321" s="44"/>
      <c r="R321" s="44"/>
      <c r="T321" s="41"/>
      <c r="U321" s="41"/>
      <c r="V321" s="41"/>
      <c r="W321" s="41"/>
      <c r="X321" s="41"/>
      <c r="Y321" s="44"/>
      <c r="Z321" s="44"/>
      <c r="AA321" s="44"/>
      <c r="AC321" s="41"/>
      <c r="AD321" s="41"/>
      <c r="AE321" s="41"/>
      <c r="AF321" s="41"/>
      <c r="AG321" s="41"/>
      <c r="AH321" s="44"/>
      <c r="AI321" s="44"/>
      <c r="AJ321" s="44"/>
    </row>
    <row r="322" spans="11:36" x14ac:dyDescent="0.2">
      <c r="K322" s="41"/>
      <c r="L322" s="41"/>
      <c r="M322" s="41"/>
      <c r="N322" s="41"/>
      <c r="O322" s="41"/>
      <c r="P322" s="44"/>
      <c r="Q322" s="44"/>
      <c r="R322" s="44"/>
      <c r="T322" s="41"/>
      <c r="U322" s="41"/>
      <c r="V322" s="41"/>
      <c r="W322" s="41"/>
      <c r="X322" s="41"/>
      <c r="Y322" s="44"/>
      <c r="Z322" s="44"/>
      <c r="AA322" s="44"/>
      <c r="AC322" s="41"/>
      <c r="AD322" s="41"/>
      <c r="AE322" s="41"/>
      <c r="AF322" s="41"/>
      <c r="AG322" s="41"/>
      <c r="AH322" s="44"/>
      <c r="AI322" s="44"/>
      <c r="AJ322" s="44"/>
    </row>
    <row r="323" spans="11:36" x14ac:dyDescent="0.2">
      <c r="K323" s="41"/>
      <c r="L323" s="41"/>
      <c r="M323" s="41"/>
      <c r="N323" s="41"/>
      <c r="O323" s="41"/>
      <c r="P323" s="44"/>
      <c r="Q323" s="44"/>
      <c r="R323" s="44"/>
      <c r="T323" s="41"/>
      <c r="U323" s="41"/>
      <c r="V323" s="41"/>
      <c r="W323" s="41"/>
      <c r="X323" s="41"/>
      <c r="Y323" s="44"/>
      <c r="Z323" s="44"/>
      <c r="AA323" s="44"/>
      <c r="AC323" s="41"/>
      <c r="AD323" s="41"/>
      <c r="AE323" s="41"/>
      <c r="AF323" s="41"/>
      <c r="AG323" s="41"/>
      <c r="AH323" s="44"/>
      <c r="AI323" s="44"/>
      <c r="AJ323" s="44"/>
    </row>
    <row r="324" spans="11:36" x14ac:dyDescent="0.2">
      <c r="K324" s="41"/>
      <c r="L324" s="41"/>
      <c r="M324" s="41"/>
      <c r="N324" s="41"/>
      <c r="O324" s="41"/>
      <c r="P324" s="44"/>
      <c r="Q324" s="44"/>
      <c r="R324" s="44"/>
      <c r="T324" s="41"/>
      <c r="U324" s="41"/>
      <c r="V324" s="41"/>
      <c r="W324" s="41"/>
      <c r="X324" s="41"/>
      <c r="Y324" s="44"/>
      <c r="Z324" s="44"/>
      <c r="AA324" s="44"/>
      <c r="AC324" s="41"/>
      <c r="AD324" s="41"/>
      <c r="AE324" s="41"/>
      <c r="AF324" s="41"/>
      <c r="AG324" s="41"/>
      <c r="AH324" s="44"/>
      <c r="AI324" s="44"/>
      <c r="AJ324" s="44"/>
    </row>
    <row r="325" spans="11:36" x14ac:dyDescent="0.2">
      <c r="K325" s="41"/>
      <c r="L325" s="41"/>
      <c r="M325" s="41"/>
      <c r="N325" s="41"/>
      <c r="O325" s="41"/>
      <c r="P325" s="44"/>
      <c r="Q325" s="44"/>
      <c r="R325" s="44"/>
      <c r="T325" s="41"/>
      <c r="U325" s="41"/>
      <c r="V325" s="41"/>
      <c r="W325" s="41"/>
      <c r="X325" s="41"/>
      <c r="Y325" s="44"/>
      <c r="Z325" s="44"/>
      <c r="AA325" s="44"/>
      <c r="AC325" s="41"/>
      <c r="AD325" s="41"/>
      <c r="AE325" s="41"/>
      <c r="AF325" s="41"/>
      <c r="AG325" s="41"/>
      <c r="AH325" s="44"/>
      <c r="AI325" s="44"/>
      <c r="AJ325" s="44"/>
    </row>
    <row r="326" spans="11:36" x14ac:dyDescent="0.2">
      <c r="K326" s="41"/>
      <c r="L326" s="41"/>
      <c r="M326" s="41"/>
      <c r="N326" s="41"/>
      <c r="O326" s="41"/>
      <c r="P326" s="44"/>
      <c r="Q326" s="44"/>
      <c r="R326" s="44"/>
      <c r="T326" s="41"/>
      <c r="U326" s="41"/>
      <c r="V326" s="41"/>
      <c r="W326" s="41"/>
      <c r="X326" s="41"/>
      <c r="Y326" s="44"/>
      <c r="Z326" s="44"/>
      <c r="AA326" s="44"/>
      <c r="AC326" s="41"/>
      <c r="AD326" s="41"/>
      <c r="AE326" s="41"/>
      <c r="AF326" s="41"/>
      <c r="AG326" s="41"/>
      <c r="AH326" s="44"/>
      <c r="AI326" s="44"/>
      <c r="AJ326" s="44"/>
    </row>
    <row r="327" spans="11:36" x14ac:dyDescent="0.2">
      <c r="K327" s="41"/>
      <c r="L327" s="41"/>
      <c r="M327" s="41"/>
      <c r="N327" s="41"/>
      <c r="O327" s="41"/>
      <c r="P327" s="44"/>
      <c r="Q327" s="44"/>
      <c r="R327" s="44"/>
      <c r="T327" s="41"/>
      <c r="U327" s="41"/>
      <c r="V327" s="41"/>
      <c r="W327" s="41"/>
      <c r="X327" s="41"/>
      <c r="Y327" s="44"/>
      <c r="Z327" s="44"/>
      <c r="AA327" s="44"/>
      <c r="AC327" s="41"/>
      <c r="AD327" s="41"/>
      <c r="AE327" s="41"/>
      <c r="AF327" s="41"/>
      <c r="AG327" s="41"/>
      <c r="AH327" s="44"/>
      <c r="AI327" s="44"/>
      <c r="AJ327" s="44"/>
    </row>
    <row r="328" spans="11:36" x14ac:dyDescent="0.2">
      <c r="K328" s="41"/>
      <c r="L328" s="41"/>
      <c r="M328" s="41"/>
      <c r="N328" s="41"/>
      <c r="O328" s="41"/>
      <c r="P328" s="44"/>
      <c r="Q328" s="44"/>
      <c r="R328" s="44"/>
      <c r="T328" s="41"/>
      <c r="U328" s="41"/>
      <c r="V328" s="41"/>
      <c r="W328" s="41"/>
      <c r="X328" s="41"/>
      <c r="Y328" s="44"/>
      <c r="Z328" s="44"/>
      <c r="AA328" s="44"/>
      <c r="AC328" s="41"/>
      <c r="AD328" s="41"/>
      <c r="AE328" s="41"/>
      <c r="AF328" s="41"/>
      <c r="AG328" s="41"/>
      <c r="AH328" s="44"/>
      <c r="AI328" s="44"/>
      <c r="AJ328" s="44"/>
    </row>
    <row r="329" spans="11:36" x14ac:dyDescent="0.2">
      <c r="K329" s="41"/>
      <c r="L329" s="41"/>
      <c r="M329" s="41"/>
      <c r="N329" s="41"/>
      <c r="O329" s="41"/>
      <c r="P329" s="44"/>
      <c r="Q329" s="44"/>
      <c r="R329" s="44"/>
      <c r="T329" s="41"/>
      <c r="U329" s="41"/>
      <c r="V329" s="41"/>
      <c r="W329" s="41"/>
      <c r="X329" s="41"/>
      <c r="Y329" s="44"/>
      <c r="Z329" s="44"/>
      <c r="AA329" s="44"/>
      <c r="AC329" s="41"/>
      <c r="AD329" s="41"/>
      <c r="AE329" s="41"/>
      <c r="AF329" s="41"/>
      <c r="AG329" s="41"/>
      <c r="AH329" s="44"/>
      <c r="AI329" s="44"/>
      <c r="AJ329" s="44"/>
    </row>
    <row r="330" spans="11:36" x14ac:dyDescent="0.2">
      <c r="K330" s="41"/>
      <c r="L330" s="41"/>
      <c r="M330" s="41"/>
      <c r="N330" s="41"/>
      <c r="O330" s="41"/>
      <c r="P330" s="44"/>
      <c r="Q330" s="44"/>
      <c r="R330" s="44"/>
      <c r="T330" s="41"/>
      <c r="U330" s="41"/>
      <c r="V330" s="41"/>
      <c r="W330" s="41"/>
      <c r="X330" s="41"/>
      <c r="Y330" s="44"/>
      <c r="Z330" s="44"/>
      <c r="AA330" s="44"/>
      <c r="AC330" s="41"/>
      <c r="AD330" s="41"/>
      <c r="AE330" s="41"/>
      <c r="AF330" s="41"/>
      <c r="AG330" s="41"/>
      <c r="AH330" s="44"/>
      <c r="AI330" s="44"/>
      <c r="AJ330" s="44"/>
    </row>
    <row r="331" spans="11:36" x14ac:dyDescent="0.2">
      <c r="K331" s="41"/>
      <c r="L331" s="41"/>
      <c r="M331" s="41"/>
      <c r="N331" s="41"/>
      <c r="O331" s="41"/>
      <c r="P331" s="44"/>
      <c r="Q331" s="44"/>
      <c r="R331" s="44"/>
      <c r="T331" s="41"/>
      <c r="U331" s="41"/>
      <c r="V331" s="41"/>
      <c r="W331" s="41"/>
      <c r="X331" s="41"/>
      <c r="Y331" s="44"/>
      <c r="Z331" s="44"/>
      <c r="AA331" s="44"/>
      <c r="AC331" s="41"/>
      <c r="AD331" s="41"/>
      <c r="AE331" s="41"/>
      <c r="AF331" s="41"/>
      <c r="AG331" s="41"/>
      <c r="AH331" s="44"/>
      <c r="AI331" s="44"/>
      <c r="AJ331" s="44"/>
    </row>
    <row r="332" spans="11:36" x14ac:dyDescent="0.2">
      <c r="K332" s="41"/>
      <c r="L332" s="41"/>
      <c r="M332" s="41"/>
      <c r="N332" s="41"/>
      <c r="O332" s="41"/>
      <c r="P332" s="44"/>
      <c r="Q332" s="44"/>
      <c r="R332" s="44"/>
      <c r="T332" s="41"/>
      <c r="U332" s="41"/>
      <c r="V332" s="41"/>
      <c r="W332" s="41"/>
      <c r="X332" s="41"/>
      <c r="Y332" s="44"/>
      <c r="Z332" s="44"/>
      <c r="AA332" s="44"/>
      <c r="AC332" s="41"/>
      <c r="AD332" s="41"/>
      <c r="AE332" s="41"/>
      <c r="AF332" s="41"/>
      <c r="AG332" s="41"/>
      <c r="AH332" s="44"/>
      <c r="AI332" s="44"/>
      <c r="AJ332" s="44"/>
    </row>
    <row r="333" spans="11:36" x14ac:dyDescent="0.2">
      <c r="K333" s="41"/>
      <c r="L333" s="41"/>
      <c r="M333" s="41"/>
      <c r="N333" s="41"/>
      <c r="O333" s="41"/>
      <c r="P333" s="44"/>
      <c r="Q333" s="44"/>
      <c r="R333" s="44"/>
      <c r="T333" s="41"/>
      <c r="U333" s="41"/>
      <c r="V333" s="41"/>
      <c r="W333" s="41"/>
      <c r="X333" s="41"/>
      <c r="Y333" s="44"/>
      <c r="Z333" s="44"/>
      <c r="AA333" s="44"/>
      <c r="AC333" s="41"/>
      <c r="AD333" s="41"/>
      <c r="AE333" s="41"/>
      <c r="AF333" s="41"/>
      <c r="AG333" s="41"/>
      <c r="AH333" s="44"/>
      <c r="AI333" s="44"/>
      <c r="AJ333" s="44"/>
    </row>
    <row r="334" spans="11:36" x14ac:dyDescent="0.2">
      <c r="K334" s="41"/>
      <c r="L334" s="41"/>
      <c r="M334" s="41"/>
      <c r="N334" s="41"/>
      <c r="O334" s="41"/>
      <c r="P334" s="44"/>
      <c r="Q334" s="44"/>
      <c r="R334" s="44"/>
      <c r="T334" s="41"/>
      <c r="U334" s="41"/>
      <c r="V334" s="41"/>
      <c r="W334" s="41"/>
      <c r="X334" s="41"/>
      <c r="Y334" s="44"/>
      <c r="Z334" s="44"/>
      <c r="AA334" s="44"/>
      <c r="AC334" s="41"/>
      <c r="AD334" s="41"/>
      <c r="AE334" s="41"/>
      <c r="AF334" s="41"/>
      <c r="AG334" s="41"/>
      <c r="AH334" s="44"/>
      <c r="AI334" s="44"/>
      <c r="AJ334" s="44"/>
    </row>
    <row r="335" spans="11:36" x14ac:dyDescent="0.2">
      <c r="K335" s="41"/>
      <c r="L335" s="41"/>
      <c r="M335" s="41"/>
      <c r="N335" s="41"/>
      <c r="O335" s="41"/>
      <c r="P335" s="44"/>
      <c r="Q335" s="44"/>
      <c r="R335" s="44"/>
      <c r="T335" s="41"/>
      <c r="U335" s="41"/>
      <c r="V335" s="41"/>
      <c r="W335" s="41"/>
      <c r="X335" s="41"/>
      <c r="Y335" s="44"/>
      <c r="Z335" s="44"/>
      <c r="AA335" s="44"/>
      <c r="AC335" s="41"/>
      <c r="AD335" s="41"/>
      <c r="AE335" s="41"/>
      <c r="AF335" s="41"/>
      <c r="AG335" s="41"/>
      <c r="AH335" s="44"/>
      <c r="AI335" s="44"/>
      <c r="AJ335" s="44"/>
    </row>
    <row r="336" spans="11:36" x14ac:dyDescent="0.2">
      <c r="K336" s="41"/>
      <c r="L336" s="41"/>
      <c r="M336" s="41"/>
      <c r="N336" s="41"/>
      <c r="O336" s="41"/>
      <c r="P336" s="44"/>
      <c r="Q336" s="44"/>
      <c r="R336" s="44"/>
      <c r="T336" s="41"/>
      <c r="U336" s="41"/>
      <c r="V336" s="41"/>
      <c r="W336" s="41"/>
      <c r="X336" s="41"/>
      <c r="Y336" s="44"/>
      <c r="Z336" s="44"/>
      <c r="AA336" s="44"/>
      <c r="AC336" s="41"/>
      <c r="AD336" s="41"/>
      <c r="AE336" s="41"/>
      <c r="AF336" s="41"/>
      <c r="AG336" s="41"/>
      <c r="AH336" s="44"/>
      <c r="AI336" s="44"/>
      <c r="AJ336" s="44"/>
    </row>
    <row r="337" spans="11:36" x14ac:dyDescent="0.2">
      <c r="K337" s="41"/>
      <c r="L337" s="41"/>
      <c r="M337" s="41"/>
      <c r="N337" s="41"/>
      <c r="O337" s="41"/>
      <c r="P337" s="44"/>
      <c r="Q337" s="44"/>
      <c r="R337" s="44"/>
      <c r="T337" s="41"/>
      <c r="U337" s="41"/>
      <c r="V337" s="41"/>
      <c r="W337" s="41"/>
      <c r="X337" s="41"/>
      <c r="Y337" s="44"/>
      <c r="Z337" s="44"/>
      <c r="AA337" s="44"/>
      <c r="AC337" s="41"/>
      <c r="AD337" s="41"/>
      <c r="AE337" s="41"/>
      <c r="AF337" s="41"/>
      <c r="AG337" s="41"/>
      <c r="AH337" s="44"/>
      <c r="AI337" s="44"/>
      <c r="AJ337" s="44"/>
    </row>
    <row r="338" spans="11:36" x14ac:dyDescent="0.2">
      <c r="K338" s="41"/>
      <c r="L338" s="41"/>
      <c r="M338" s="41"/>
      <c r="N338" s="41"/>
      <c r="O338" s="41"/>
      <c r="P338" s="44"/>
      <c r="Q338" s="44"/>
      <c r="R338" s="44"/>
      <c r="T338" s="41"/>
      <c r="U338" s="41"/>
      <c r="V338" s="41"/>
      <c r="W338" s="41"/>
      <c r="X338" s="41"/>
      <c r="Y338" s="44"/>
      <c r="Z338" s="44"/>
      <c r="AA338" s="44"/>
      <c r="AC338" s="41"/>
      <c r="AD338" s="41"/>
      <c r="AE338" s="41"/>
      <c r="AF338" s="41"/>
      <c r="AG338" s="41"/>
      <c r="AH338" s="44"/>
      <c r="AI338" s="44"/>
      <c r="AJ338" s="44"/>
    </row>
    <row r="339" spans="11:36" x14ac:dyDescent="0.2">
      <c r="K339" s="41"/>
      <c r="L339" s="41"/>
      <c r="M339" s="41"/>
      <c r="N339" s="41"/>
      <c r="O339" s="41"/>
      <c r="P339" s="44"/>
      <c r="Q339" s="44"/>
      <c r="R339" s="44"/>
      <c r="T339" s="41"/>
      <c r="U339" s="41"/>
      <c r="V339" s="41"/>
      <c r="W339" s="41"/>
      <c r="X339" s="41"/>
      <c r="Y339" s="44"/>
      <c r="Z339" s="44"/>
      <c r="AA339" s="44"/>
      <c r="AC339" s="41"/>
      <c r="AD339" s="41"/>
      <c r="AE339" s="41"/>
      <c r="AF339" s="41"/>
      <c r="AG339" s="41"/>
      <c r="AH339" s="44"/>
      <c r="AI339" s="44"/>
      <c r="AJ339" s="44"/>
    </row>
    <row r="340" spans="11:36" x14ac:dyDescent="0.2">
      <c r="K340" s="41"/>
      <c r="L340" s="41"/>
      <c r="M340" s="41"/>
      <c r="N340" s="41"/>
      <c r="O340" s="41"/>
      <c r="P340" s="44"/>
      <c r="Q340" s="44"/>
      <c r="R340" s="44"/>
      <c r="T340" s="41"/>
      <c r="U340" s="41"/>
      <c r="V340" s="41"/>
      <c r="W340" s="41"/>
      <c r="X340" s="41"/>
      <c r="Y340" s="44"/>
      <c r="Z340" s="44"/>
      <c r="AA340" s="44"/>
      <c r="AC340" s="41"/>
      <c r="AD340" s="41"/>
      <c r="AE340" s="41"/>
      <c r="AF340" s="41"/>
      <c r="AG340" s="41"/>
      <c r="AH340" s="44"/>
      <c r="AI340" s="44"/>
      <c r="AJ340" s="44"/>
    </row>
    <row r="341" spans="11:36" x14ac:dyDescent="0.2">
      <c r="K341" s="41"/>
      <c r="L341" s="41"/>
      <c r="M341" s="41"/>
      <c r="N341" s="41"/>
      <c r="O341" s="41"/>
      <c r="P341" s="44"/>
      <c r="Q341" s="44"/>
      <c r="R341" s="44"/>
      <c r="T341" s="41"/>
      <c r="U341" s="41"/>
      <c r="V341" s="41"/>
      <c r="W341" s="41"/>
      <c r="X341" s="41"/>
      <c r="Y341" s="44"/>
      <c r="Z341" s="44"/>
      <c r="AA341" s="44"/>
      <c r="AC341" s="41"/>
      <c r="AD341" s="41"/>
      <c r="AE341" s="41"/>
      <c r="AF341" s="41"/>
      <c r="AG341" s="41"/>
      <c r="AH341" s="44"/>
      <c r="AI341" s="44"/>
      <c r="AJ341" s="44"/>
    </row>
    <row r="342" spans="11:36" x14ac:dyDescent="0.2">
      <c r="K342" s="41"/>
      <c r="L342" s="41"/>
      <c r="M342" s="41"/>
      <c r="N342" s="41"/>
      <c r="O342" s="41"/>
      <c r="P342" s="44"/>
      <c r="Q342" s="44"/>
      <c r="R342" s="44"/>
      <c r="T342" s="41"/>
      <c r="U342" s="41"/>
      <c r="V342" s="41"/>
      <c r="W342" s="41"/>
      <c r="X342" s="41"/>
      <c r="Y342" s="44"/>
      <c r="Z342" s="44"/>
      <c r="AA342" s="44"/>
      <c r="AC342" s="41"/>
      <c r="AD342" s="41"/>
      <c r="AE342" s="41"/>
      <c r="AF342" s="41"/>
      <c r="AG342" s="41"/>
      <c r="AH342" s="44"/>
      <c r="AI342" s="44"/>
      <c r="AJ342" s="44"/>
    </row>
    <row r="343" spans="11:36" x14ac:dyDescent="0.2">
      <c r="K343" s="41"/>
      <c r="L343" s="41"/>
      <c r="M343" s="41"/>
      <c r="N343" s="41"/>
      <c r="O343" s="41"/>
      <c r="P343" s="44"/>
      <c r="Q343" s="44"/>
      <c r="R343" s="44"/>
      <c r="T343" s="41"/>
      <c r="U343" s="41"/>
      <c r="V343" s="41"/>
      <c r="W343" s="41"/>
      <c r="X343" s="41"/>
      <c r="Y343" s="44"/>
      <c r="Z343" s="44"/>
      <c r="AA343" s="44"/>
      <c r="AC343" s="41"/>
      <c r="AD343" s="41"/>
      <c r="AE343" s="41"/>
      <c r="AF343" s="41"/>
      <c r="AG343" s="41"/>
      <c r="AH343" s="44"/>
      <c r="AI343" s="44"/>
      <c r="AJ343" s="44"/>
    </row>
    <row r="344" spans="11:36" x14ac:dyDescent="0.2">
      <c r="K344" s="41"/>
      <c r="L344" s="41"/>
      <c r="M344" s="41"/>
      <c r="N344" s="41"/>
      <c r="O344" s="41"/>
      <c r="P344" s="44"/>
      <c r="Q344" s="44"/>
      <c r="R344" s="44"/>
      <c r="T344" s="41"/>
      <c r="U344" s="41"/>
      <c r="V344" s="41"/>
      <c r="W344" s="41"/>
      <c r="X344" s="41"/>
      <c r="Y344" s="44"/>
      <c r="Z344" s="44"/>
      <c r="AA344" s="44"/>
      <c r="AC344" s="41"/>
      <c r="AD344" s="41"/>
      <c r="AE344" s="41"/>
      <c r="AF344" s="41"/>
      <c r="AG344" s="41"/>
      <c r="AH344" s="44"/>
      <c r="AI344" s="44"/>
      <c r="AJ344" s="44"/>
    </row>
    <row r="345" spans="11:36" x14ac:dyDescent="0.2">
      <c r="K345" s="41"/>
      <c r="L345" s="41"/>
      <c r="M345" s="41"/>
      <c r="N345" s="41"/>
      <c r="O345" s="41"/>
      <c r="P345" s="44"/>
      <c r="Q345" s="44"/>
      <c r="R345" s="44"/>
      <c r="T345" s="41"/>
      <c r="U345" s="41"/>
      <c r="V345" s="41"/>
      <c r="W345" s="41"/>
      <c r="X345" s="41"/>
      <c r="Y345" s="44"/>
      <c r="Z345" s="44"/>
      <c r="AA345" s="44"/>
      <c r="AC345" s="41"/>
      <c r="AD345" s="41"/>
      <c r="AE345" s="41"/>
      <c r="AF345" s="41"/>
      <c r="AG345" s="41"/>
      <c r="AH345" s="44"/>
      <c r="AI345" s="44"/>
      <c r="AJ345" s="44"/>
    </row>
    <row r="346" spans="11:36" x14ac:dyDescent="0.2">
      <c r="K346" s="41"/>
      <c r="L346" s="41"/>
      <c r="M346" s="41"/>
      <c r="N346" s="41"/>
      <c r="O346" s="41"/>
      <c r="P346" s="44"/>
      <c r="Q346" s="44"/>
      <c r="R346" s="44"/>
      <c r="T346" s="41"/>
      <c r="U346" s="41"/>
      <c r="V346" s="41"/>
      <c r="W346" s="41"/>
      <c r="X346" s="41"/>
      <c r="Y346" s="44"/>
      <c r="Z346" s="44"/>
      <c r="AA346" s="44"/>
      <c r="AC346" s="41"/>
      <c r="AD346" s="41"/>
      <c r="AE346" s="41"/>
      <c r="AF346" s="41"/>
      <c r="AG346" s="41"/>
      <c r="AH346" s="44"/>
      <c r="AI346" s="44"/>
      <c r="AJ346" s="44"/>
    </row>
    <row r="347" spans="11:36" x14ac:dyDescent="0.2">
      <c r="K347" s="41"/>
      <c r="L347" s="41"/>
      <c r="M347" s="41"/>
      <c r="N347" s="41"/>
      <c r="O347" s="41"/>
      <c r="P347" s="44"/>
      <c r="Q347" s="44"/>
      <c r="R347" s="44"/>
      <c r="T347" s="41"/>
      <c r="U347" s="41"/>
      <c r="V347" s="41"/>
      <c r="W347" s="41"/>
      <c r="X347" s="41"/>
      <c r="Y347" s="44"/>
      <c r="Z347" s="44"/>
      <c r="AA347" s="44"/>
      <c r="AC347" s="41"/>
      <c r="AD347" s="41"/>
      <c r="AE347" s="41"/>
      <c r="AF347" s="41"/>
      <c r="AG347" s="41"/>
      <c r="AH347" s="44"/>
      <c r="AI347" s="44"/>
      <c r="AJ347" s="44"/>
    </row>
    <row r="348" spans="11:36" x14ac:dyDescent="0.2">
      <c r="K348" s="41"/>
      <c r="L348" s="41"/>
      <c r="M348" s="41"/>
      <c r="N348" s="41"/>
      <c r="O348" s="41"/>
      <c r="P348" s="44"/>
      <c r="Q348" s="44"/>
      <c r="R348" s="44"/>
      <c r="T348" s="41"/>
      <c r="U348" s="41"/>
      <c r="V348" s="41"/>
      <c r="W348" s="41"/>
      <c r="X348" s="41"/>
      <c r="Y348" s="44"/>
      <c r="Z348" s="44"/>
      <c r="AA348" s="44"/>
      <c r="AC348" s="41"/>
      <c r="AD348" s="41"/>
      <c r="AE348" s="41"/>
      <c r="AF348" s="41"/>
      <c r="AG348" s="41"/>
      <c r="AH348" s="44"/>
      <c r="AI348" s="44"/>
      <c r="AJ348" s="44"/>
    </row>
    <row r="349" spans="11:36" x14ac:dyDescent="0.2">
      <c r="K349" s="41"/>
      <c r="L349" s="41"/>
      <c r="M349" s="41"/>
      <c r="N349" s="41"/>
      <c r="O349" s="41"/>
      <c r="P349" s="44"/>
      <c r="Q349" s="44"/>
      <c r="R349" s="44"/>
      <c r="T349" s="41"/>
      <c r="U349" s="41"/>
      <c r="V349" s="41"/>
      <c r="W349" s="41"/>
      <c r="X349" s="41"/>
      <c r="Y349" s="44"/>
      <c r="Z349" s="44"/>
      <c r="AA349" s="44"/>
      <c r="AC349" s="41"/>
      <c r="AD349" s="41"/>
      <c r="AE349" s="41"/>
      <c r="AF349" s="41"/>
      <c r="AG349" s="41"/>
      <c r="AH349" s="44"/>
      <c r="AI349" s="44"/>
      <c r="AJ349" s="44"/>
    </row>
    <row r="350" spans="11:36" x14ac:dyDescent="0.2">
      <c r="K350" s="41"/>
      <c r="L350" s="41"/>
      <c r="M350" s="41"/>
      <c r="N350" s="41"/>
      <c r="O350" s="41"/>
      <c r="P350" s="44"/>
      <c r="Q350" s="44"/>
      <c r="R350" s="44"/>
      <c r="T350" s="41"/>
      <c r="U350" s="41"/>
      <c r="V350" s="41"/>
      <c r="W350" s="41"/>
      <c r="X350" s="41"/>
      <c r="Y350" s="44"/>
      <c r="Z350" s="44"/>
      <c r="AA350" s="44"/>
      <c r="AC350" s="41"/>
      <c r="AD350" s="41"/>
      <c r="AE350" s="41"/>
      <c r="AF350" s="41"/>
      <c r="AG350" s="41"/>
      <c r="AH350" s="44"/>
      <c r="AI350" s="44"/>
      <c r="AJ350" s="44"/>
    </row>
    <row r="351" spans="11:36" x14ac:dyDescent="0.2">
      <c r="K351" s="41"/>
      <c r="L351" s="41"/>
      <c r="M351" s="41"/>
      <c r="N351" s="41"/>
      <c r="O351" s="41"/>
      <c r="P351" s="44"/>
      <c r="Q351" s="44"/>
      <c r="R351" s="44"/>
      <c r="T351" s="41"/>
      <c r="U351" s="41"/>
      <c r="V351" s="41"/>
      <c r="W351" s="41"/>
      <c r="X351" s="41"/>
      <c r="Y351" s="44"/>
      <c r="Z351" s="44"/>
      <c r="AA351" s="44"/>
      <c r="AC351" s="41"/>
      <c r="AD351" s="41"/>
      <c r="AE351" s="41"/>
      <c r="AF351" s="41"/>
      <c r="AG351" s="41"/>
      <c r="AH351" s="44"/>
      <c r="AI351" s="44"/>
      <c r="AJ351" s="44"/>
    </row>
    <row r="352" spans="11:36" x14ac:dyDescent="0.2">
      <c r="K352" s="41"/>
      <c r="L352" s="41"/>
      <c r="M352" s="41"/>
      <c r="N352" s="41"/>
      <c r="O352" s="41"/>
      <c r="P352" s="44"/>
      <c r="Q352" s="44"/>
      <c r="R352" s="44"/>
      <c r="T352" s="41"/>
      <c r="U352" s="41"/>
      <c r="V352" s="41"/>
      <c r="W352" s="41"/>
      <c r="X352" s="41"/>
      <c r="Y352" s="44"/>
      <c r="Z352" s="44"/>
      <c r="AA352" s="44"/>
      <c r="AC352" s="41"/>
      <c r="AD352" s="41"/>
      <c r="AE352" s="41"/>
      <c r="AF352" s="41"/>
      <c r="AG352" s="41"/>
      <c r="AH352" s="44"/>
      <c r="AI352" s="44"/>
      <c r="AJ352" s="44"/>
    </row>
    <row r="353" spans="11:36" x14ac:dyDescent="0.2">
      <c r="K353" s="41"/>
      <c r="L353" s="41"/>
      <c r="M353" s="41"/>
      <c r="N353" s="41"/>
      <c r="O353" s="41"/>
      <c r="P353" s="44"/>
      <c r="Q353" s="44"/>
      <c r="R353" s="44"/>
      <c r="T353" s="41"/>
      <c r="U353" s="41"/>
      <c r="V353" s="41"/>
      <c r="W353" s="41"/>
      <c r="X353" s="41"/>
      <c r="Y353" s="44"/>
      <c r="Z353" s="44"/>
      <c r="AA353" s="44"/>
      <c r="AC353" s="41"/>
      <c r="AD353" s="41"/>
      <c r="AE353" s="41"/>
      <c r="AF353" s="41"/>
      <c r="AG353" s="41"/>
      <c r="AH353" s="44"/>
      <c r="AI353" s="44"/>
      <c r="AJ353" s="44"/>
    </row>
    <row r="354" spans="11:36" x14ac:dyDescent="0.2">
      <c r="K354" s="41"/>
      <c r="L354" s="41"/>
      <c r="M354" s="41"/>
      <c r="N354" s="41"/>
      <c r="O354" s="41"/>
      <c r="P354" s="44"/>
      <c r="Q354" s="44"/>
      <c r="R354" s="44"/>
      <c r="T354" s="41"/>
      <c r="U354" s="41"/>
      <c r="V354" s="41"/>
      <c r="W354" s="41"/>
      <c r="X354" s="41"/>
      <c r="Y354" s="44"/>
      <c r="Z354" s="44"/>
      <c r="AA354" s="44"/>
      <c r="AC354" s="41"/>
      <c r="AD354" s="41"/>
      <c r="AE354" s="41"/>
      <c r="AF354" s="41"/>
      <c r="AG354" s="41"/>
      <c r="AH354" s="44"/>
      <c r="AI354" s="44"/>
      <c r="AJ354" s="44"/>
    </row>
    <row r="355" spans="11:36" x14ac:dyDescent="0.2">
      <c r="K355" s="41"/>
      <c r="L355" s="41"/>
      <c r="M355" s="41"/>
      <c r="N355" s="41"/>
      <c r="O355" s="41"/>
      <c r="P355" s="44"/>
      <c r="Q355" s="44"/>
      <c r="R355" s="44"/>
      <c r="T355" s="41"/>
      <c r="U355" s="41"/>
      <c r="V355" s="41"/>
      <c r="W355" s="41"/>
      <c r="X355" s="41"/>
      <c r="Y355" s="44"/>
      <c r="Z355" s="44"/>
      <c r="AA355" s="44"/>
      <c r="AC355" s="41"/>
      <c r="AD355" s="41"/>
      <c r="AE355" s="41"/>
      <c r="AF355" s="41"/>
      <c r="AG355" s="41"/>
      <c r="AH355" s="44"/>
      <c r="AI355" s="44"/>
      <c r="AJ355" s="44"/>
    </row>
    <row r="356" spans="11:36" x14ac:dyDescent="0.2">
      <c r="K356" s="41"/>
      <c r="L356" s="41"/>
      <c r="M356" s="41"/>
      <c r="N356" s="41"/>
      <c r="O356" s="41"/>
      <c r="P356" s="44"/>
      <c r="Q356" s="44"/>
      <c r="R356" s="44"/>
      <c r="T356" s="41"/>
      <c r="U356" s="41"/>
      <c r="V356" s="41"/>
      <c r="W356" s="41"/>
      <c r="X356" s="41"/>
      <c r="Y356" s="44"/>
      <c r="Z356" s="44"/>
      <c r="AA356" s="44"/>
      <c r="AC356" s="41"/>
      <c r="AD356" s="41"/>
      <c r="AE356" s="41"/>
      <c r="AF356" s="41"/>
      <c r="AG356" s="41"/>
      <c r="AH356" s="44"/>
      <c r="AI356" s="44"/>
      <c r="AJ356" s="44"/>
    </row>
    <row r="357" spans="11:36" x14ac:dyDescent="0.2">
      <c r="K357" s="41"/>
      <c r="L357" s="41"/>
      <c r="M357" s="41"/>
      <c r="N357" s="41"/>
      <c r="O357" s="41"/>
      <c r="P357" s="44"/>
      <c r="Q357" s="44"/>
      <c r="R357" s="44"/>
      <c r="T357" s="41"/>
      <c r="U357" s="41"/>
      <c r="V357" s="41"/>
      <c r="W357" s="41"/>
      <c r="X357" s="41"/>
      <c r="Y357" s="44"/>
      <c r="Z357" s="44"/>
      <c r="AA357" s="44"/>
      <c r="AC357" s="41"/>
      <c r="AD357" s="41"/>
      <c r="AE357" s="41"/>
      <c r="AF357" s="41"/>
      <c r="AG357" s="41"/>
      <c r="AH357" s="44"/>
      <c r="AI357" s="44"/>
      <c r="AJ357" s="44"/>
    </row>
    <row r="358" spans="11:36" x14ac:dyDescent="0.2">
      <c r="K358" s="41"/>
      <c r="L358" s="41"/>
      <c r="M358" s="41"/>
      <c r="N358" s="41"/>
      <c r="O358" s="41"/>
      <c r="P358" s="44"/>
      <c r="Q358" s="44"/>
      <c r="R358" s="44"/>
      <c r="T358" s="41"/>
      <c r="U358" s="41"/>
      <c r="V358" s="41"/>
      <c r="W358" s="41"/>
      <c r="X358" s="41"/>
      <c r="Y358" s="44"/>
      <c r="Z358" s="44"/>
      <c r="AA358" s="44"/>
      <c r="AC358" s="41"/>
      <c r="AD358" s="41"/>
      <c r="AE358" s="41"/>
      <c r="AF358" s="41"/>
      <c r="AG358" s="41"/>
      <c r="AH358" s="44"/>
      <c r="AI358" s="44"/>
      <c r="AJ358" s="44"/>
    </row>
    <row r="359" spans="11:36" x14ac:dyDescent="0.2">
      <c r="K359" s="41"/>
      <c r="L359" s="41"/>
      <c r="M359" s="41"/>
      <c r="N359" s="41"/>
      <c r="O359" s="41"/>
      <c r="P359" s="44"/>
      <c r="Q359" s="44"/>
      <c r="R359" s="44"/>
      <c r="T359" s="41"/>
      <c r="U359" s="41"/>
      <c r="V359" s="41"/>
      <c r="W359" s="41"/>
      <c r="X359" s="41"/>
      <c r="Y359" s="44"/>
      <c r="Z359" s="44"/>
      <c r="AA359" s="44"/>
      <c r="AC359" s="41"/>
      <c r="AD359" s="41"/>
      <c r="AE359" s="41"/>
      <c r="AF359" s="41"/>
      <c r="AG359" s="41"/>
      <c r="AH359" s="44"/>
      <c r="AI359" s="44"/>
      <c r="AJ359" s="44"/>
    </row>
    <row r="360" spans="11:36" x14ac:dyDescent="0.2">
      <c r="K360" s="41"/>
      <c r="L360" s="41"/>
      <c r="M360" s="41"/>
      <c r="N360" s="41"/>
      <c r="O360" s="41"/>
      <c r="P360" s="44"/>
      <c r="Q360" s="44"/>
      <c r="R360" s="44"/>
      <c r="T360" s="41"/>
      <c r="U360" s="41"/>
      <c r="V360" s="41"/>
      <c r="W360" s="41"/>
      <c r="X360" s="41"/>
      <c r="Y360" s="44"/>
      <c r="Z360" s="44"/>
      <c r="AA360" s="44"/>
      <c r="AC360" s="41"/>
      <c r="AD360" s="41"/>
      <c r="AE360" s="41"/>
      <c r="AF360" s="41"/>
      <c r="AG360" s="41"/>
      <c r="AH360" s="44"/>
      <c r="AI360" s="44"/>
      <c r="AJ360" s="44"/>
    </row>
    <row r="361" spans="11:36" x14ac:dyDescent="0.2">
      <c r="K361" s="41"/>
      <c r="L361" s="41"/>
      <c r="M361" s="41"/>
      <c r="N361" s="41"/>
      <c r="O361" s="41"/>
      <c r="P361" s="44"/>
      <c r="Q361" s="44"/>
      <c r="R361" s="44"/>
      <c r="T361" s="41"/>
      <c r="U361" s="41"/>
      <c r="V361" s="41"/>
      <c r="W361" s="41"/>
      <c r="X361" s="41"/>
      <c r="Y361" s="44"/>
      <c r="Z361" s="44"/>
      <c r="AA361" s="44"/>
      <c r="AC361" s="41"/>
      <c r="AD361" s="41"/>
      <c r="AE361" s="41"/>
      <c r="AF361" s="41"/>
      <c r="AG361" s="41"/>
      <c r="AH361" s="44"/>
      <c r="AI361" s="44"/>
      <c r="AJ361" s="44"/>
    </row>
    <row r="362" spans="11:36" x14ac:dyDescent="0.2">
      <c r="K362" s="41"/>
      <c r="L362" s="41"/>
      <c r="M362" s="41"/>
      <c r="N362" s="41"/>
      <c r="O362" s="41"/>
      <c r="P362" s="44"/>
      <c r="Q362" s="44"/>
      <c r="R362" s="44"/>
      <c r="T362" s="41"/>
      <c r="U362" s="41"/>
      <c r="V362" s="41"/>
      <c r="W362" s="41"/>
      <c r="X362" s="41"/>
      <c r="Y362" s="44"/>
      <c r="Z362" s="44"/>
      <c r="AA362" s="44"/>
      <c r="AC362" s="41"/>
      <c r="AD362" s="41"/>
      <c r="AE362" s="41"/>
      <c r="AF362" s="41"/>
      <c r="AG362" s="41"/>
      <c r="AH362" s="44"/>
      <c r="AI362" s="44"/>
      <c r="AJ362" s="44"/>
    </row>
    <row r="363" spans="11:36" x14ac:dyDescent="0.2">
      <c r="K363" s="41"/>
      <c r="L363" s="41"/>
      <c r="M363" s="41"/>
      <c r="N363" s="41"/>
      <c r="O363" s="41"/>
      <c r="P363" s="44"/>
      <c r="Q363" s="44"/>
      <c r="R363" s="44"/>
      <c r="T363" s="41"/>
      <c r="U363" s="41"/>
      <c r="V363" s="41"/>
      <c r="W363" s="41"/>
      <c r="X363" s="41"/>
      <c r="Y363" s="44"/>
      <c r="Z363" s="44"/>
      <c r="AA363" s="44"/>
      <c r="AC363" s="41"/>
      <c r="AD363" s="41"/>
      <c r="AE363" s="41"/>
      <c r="AF363" s="41"/>
      <c r="AG363" s="41"/>
      <c r="AH363" s="44"/>
      <c r="AI363" s="44"/>
      <c r="AJ363" s="44"/>
    </row>
    <row r="364" spans="11:36" x14ac:dyDescent="0.2">
      <c r="K364" s="41"/>
      <c r="L364" s="41"/>
      <c r="M364" s="41"/>
      <c r="N364" s="41"/>
      <c r="O364" s="41"/>
      <c r="P364" s="44"/>
      <c r="Q364" s="44"/>
      <c r="R364" s="44"/>
      <c r="T364" s="41"/>
      <c r="U364" s="41"/>
      <c r="V364" s="41"/>
      <c r="W364" s="41"/>
      <c r="X364" s="41"/>
      <c r="Y364" s="44"/>
      <c r="Z364" s="44"/>
      <c r="AA364" s="44"/>
      <c r="AC364" s="41"/>
      <c r="AD364" s="41"/>
      <c r="AE364" s="41"/>
      <c r="AF364" s="41"/>
      <c r="AG364" s="41"/>
      <c r="AH364" s="44"/>
      <c r="AI364" s="44"/>
      <c r="AJ364" s="44"/>
    </row>
    <row r="365" spans="11:36" x14ac:dyDescent="0.2">
      <c r="K365" s="41"/>
      <c r="L365" s="41"/>
      <c r="M365" s="41"/>
      <c r="N365" s="41"/>
      <c r="O365" s="41"/>
      <c r="P365" s="44"/>
      <c r="Q365" s="44"/>
      <c r="R365" s="44"/>
      <c r="T365" s="41"/>
      <c r="U365" s="41"/>
      <c r="V365" s="41"/>
      <c r="W365" s="41"/>
      <c r="X365" s="41"/>
      <c r="Y365" s="44"/>
      <c r="Z365" s="44"/>
      <c r="AA365" s="44"/>
      <c r="AC365" s="41"/>
      <c r="AD365" s="41"/>
      <c r="AE365" s="41"/>
      <c r="AF365" s="41"/>
      <c r="AG365" s="41"/>
      <c r="AH365" s="44"/>
      <c r="AI365" s="44"/>
      <c r="AJ365" s="44"/>
    </row>
    <row r="366" spans="11:36" x14ac:dyDescent="0.2">
      <c r="K366" s="41"/>
      <c r="L366" s="41"/>
      <c r="M366" s="41"/>
      <c r="N366" s="41"/>
      <c r="O366" s="41"/>
      <c r="P366" s="44"/>
      <c r="Q366" s="44"/>
      <c r="R366" s="44"/>
      <c r="T366" s="41"/>
      <c r="U366" s="41"/>
      <c r="V366" s="41"/>
      <c r="W366" s="41"/>
      <c r="X366" s="41"/>
      <c r="Y366" s="44"/>
      <c r="Z366" s="44"/>
      <c r="AA366" s="44"/>
      <c r="AC366" s="41"/>
      <c r="AD366" s="41"/>
      <c r="AE366" s="41"/>
      <c r="AF366" s="41"/>
      <c r="AG366" s="41"/>
      <c r="AH366" s="44"/>
      <c r="AI366" s="44"/>
      <c r="AJ366" s="44"/>
    </row>
    <row r="367" spans="11:36" x14ac:dyDescent="0.2">
      <c r="K367" s="41"/>
      <c r="L367" s="41"/>
      <c r="M367" s="41"/>
      <c r="N367" s="41"/>
      <c r="O367" s="41"/>
      <c r="P367" s="44"/>
      <c r="Q367" s="44"/>
      <c r="R367" s="44"/>
      <c r="T367" s="41"/>
      <c r="U367" s="41"/>
      <c r="V367" s="41"/>
      <c r="W367" s="41"/>
      <c r="X367" s="41"/>
      <c r="Y367" s="44"/>
      <c r="Z367" s="44"/>
      <c r="AA367" s="44"/>
      <c r="AC367" s="41"/>
      <c r="AD367" s="41"/>
      <c r="AE367" s="41"/>
      <c r="AF367" s="41"/>
      <c r="AG367" s="41"/>
      <c r="AH367" s="44"/>
      <c r="AI367" s="44"/>
      <c r="AJ367" s="44"/>
    </row>
    <row r="368" spans="11:36" x14ac:dyDescent="0.2">
      <c r="K368" s="41"/>
      <c r="L368" s="41"/>
      <c r="M368" s="41"/>
      <c r="N368" s="41"/>
      <c r="O368" s="41"/>
      <c r="P368" s="44"/>
      <c r="Q368" s="44"/>
      <c r="R368" s="44"/>
      <c r="T368" s="41"/>
      <c r="U368" s="41"/>
      <c r="V368" s="41"/>
      <c r="W368" s="41"/>
      <c r="X368" s="41"/>
      <c r="Y368" s="44"/>
      <c r="Z368" s="44"/>
      <c r="AA368" s="44"/>
      <c r="AC368" s="41"/>
      <c r="AD368" s="41"/>
      <c r="AE368" s="41"/>
      <c r="AF368" s="41"/>
      <c r="AG368" s="41"/>
      <c r="AH368" s="44"/>
      <c r="AI368" s="44"/>
      <c r="AJ368" s="44"/>
    </row>
    <row r="369" spans="11:36" x14ac:dyDescent="0.2">
      <c r="K369" s="41"/>
      <c r="L369" s="41"/>
      <c r="M369" s="41"/>
      <c r="N369" s="41"/>
      <c r="O369" s="41"/>
      <c r="P369" s="44"/>
      <c r="Q369" s="44"/>
      <c r="R369" s="44"/>
      <c r="T369" s="41"/>
      <c r="U369" s="41"/>
      <c r="V369" s="41"/>
      <c r="W369" s="41"/>
      <c r="X369" s="41"/>
      <c r="Y369" s="44"/>
      <c r="Z369" s="44"/>
      <c r="AA369" s="44"/>
      <c r="AC369" s="41"/>
      <c r="AD369" s="41"/>
      <c r="AE369" s="41"/>
      <c r="AF369" s="41"/>
      <c r="AG369" s="41"/>
      <c r="AH369" s="44"/>
      <c r="AI369" s="44"/>
      <c r="AJ369" s="44"/>
    </row>
    <row r="370" spans="11:36" x14ac:dyDescent="0.2">
      <c r="K370" s="41"/>
      <c r="L370" s="41"/>
      <c r="M370" s="41"/>
      <c r="N370" s="41"/>
      <c r="O370" s="41"/>
      <c r="P370" s="44"/>
      <c r="Q370" s="44"/>
      <c r="R370" s="44"/>
      <c r="T370" s="41"/>
      <c r="U370" s="41"/>
      <c r="V370" s="41"/>
      <c r="W370" s="41"/>
      <c r="X370" s="41"/>
      <c r="Y370" s="44"/>
      <c r="Z370" s="44"/>
      <c r="AA370" s="44"/>
      <c r="AC370" s="41"/>
      <c r="AD370" s="41"/>
      <c r="AE370" s="41"/>
      <c r="AF370" s="41"/>
      <c r="AG370" s="41"/>
      <c r="AH370" s="44"/>
      <c r="AI370" s="44"/>
      <c r="AJ370" s="44"/>
    </row>
    <row r="371" spans="11:36" x14ac:dyDescent="0.2">
      <c r="K371" s="41"/>
      <c r="L371" s="41"/>
      <c r="M371" s="41"/>
      <c r="N371" s="41"/>
      <c r="O371" s="41"/>
      <c r="P371" s="44"/>
      <c r="Q371" s="44"/>
      <c r="R371" s="44"/>
      <c r="T371" s="41"/>
      <c r="U371" s="41"/>
      <c r="V371" s="41"/>
      <c r="W371" s="41"/>
      <c r="X371" s="41"/>
      <c r="Y371" s="44"/>
      <c r="Z371" s="44"/>
      <c r="AA371" s="44"/>
      <c r="AC371" s="41"/>
      <c r="AD371" s="41"/>
      <c r="AE371" s="41"/>
      <c r="AF371" s="41"/>
      <c r="AG371" s="41"/>
      <c r="AH371" s="44"/>
      <c r="AI371" s="44"/>
      <c r="AJ371" s="44"/>
    </row>
    <row r="372" spans="11:36" x14ac:dyDescent="0.2">
      <c r="K372" s="41"/>
      <c r="L372" s="41"/>
      <c r="M372" s="41"/>
      <c r="N372" s="41"/>
      <c r="O372" s="41"/>
      <c r="P372" s="44"/>
      <c r="Q372" s="44"/>
      <c r="R372" s="44"/>
      <c r="T372" s="41"/>
      <c r="U372" s="41"/>
      <c r="V372" s="41"/>
      <c r="W372" s="41"/>
      <c r="X372" s="41"/>
      <c r="Y372" s="44"/>
      <c r="Z372" s="44"/>
      <c r="AA372" s="44"/>
      <c r="AC372" s="41"/>
      <c r="AD372" s="41"/>
      <c r="AE372" s="41"/>
      <c r="AF372" s="41"/>
      <c r="AG372" s="41"/>
      <c r="AH372" s="44"/>
      <c r="AI372" s="44"/>
      <c r="AJ372" s="44"/>
    </row>
    <row r="373" spans="11:36" x14ac:dyDescent="0.2">
      <c r="K373" s="41"/>
      <c r="L373" s="41"/>
      <c r="M373" s="41"/>
      <c r="N373" s="41"/>
      <c r="O373" s="41"/>
      <c r="P373" s="44"/>
      <c r="Q373" s="44"/>
      <c r="R373" s="44"/>
      <c r="T373" s="41"/>
      <c r="U373" s="41"/>
      <c r="V373" s="41"/>
      <c r="W373" s="41"/>
      <c r="X373" s="41"/>
      <c r="Y373" s="44"/>
      <c r="Z373" s="44"/>
      <c r="AA373" s="44"/>
      <c r="AC373" s="41"/>
      <c r="AD373" s="41"/>
      <c r="AE373" s="41"/>
      <c r="AF373" s="41"/>
      <c r="AG373" s="41"/>
      <c r="AH373" s="44"/>
      <c r="AI373" s="44"/>
      <c r="AJ373" s="44"/>
    </row>
    <row r="374" spans="11:36" x14ac:dyDescent="0.2">
      <c r="K374" s="41"/>
      <c r="L374" s="41"/>
      <c r="M374" s="41"/>
      <c r="N374" s="41"/>
      <c r="O374" s="41"/>
      <c r="P374" s="44"/>
      <c r="Q374" s="44"/>
      <c r="R374" s="44"/>
      <c r="T374" s="41"/>
      <c r="U374" s="41"/>
      <c r="V374" s="41"/>
      <c r="W374" s="41"/>
      <c r="X374" s="41"/>
      <c r="Y374" s="44"/>
      <c r="Z374" s="44"/>
      <c r="AA374" s="44"/>
      <c r="AC374" s="41"/>
      <c r="AD374" s="41"/>
      <c r="AE374" s="41"/>
      <c r="AF374" s="41"/>
      <c r="AG374" s="41"/>
      <c r="AH374" s="44"/>
      <c r="AI374" s="44"/>
      <c r="AJ374" s="44"/>
    </row>
    <row r="375" spans="11:36" x14ac:dyDescent="0.2">
      <c r="K375" s="41"/>
      <c r="L375" s="41"/>
      <c r="M375" s="41"/>
      <c r="N375" s="41"/>
      <c r="O375" s="41"/>
      <c r="P375" s="44"/>
      <c r="Q375" s="44"/>
      <c r="R375" s="44"/>
      <c r="T375" s="41"/>
      <c r="U375" s="41"/>
      <c r="V375" s="41"/>
      <c r="W375" s="41"/>
      <c r="X375" s="41"/>
      <c r="Y375" s="44"/>
      <c r="Z375" s="44"/>
      <c r="AA375" s="44"/>
      <c r="AC375" s="41"/>
      <c r="AD375" s="41"/>
      <c r="AE375" s="41"/>
      <c r="AF375" s="41"/>
      <c r="AG375" s="41"/>
      <c r="AH375" s="44"/>
      <c r="AI375" s="44"/>
      <c r="AJ375" s="44"/>
    </row>
    <row r="376" spans="11:36" x14ac:dyDescent="0.2">
      <c r="K376" s="41"/>
      <c r="L376" s="41"/>
      <c r="M376" s="41"/>
      <c r="N376" s="41"/>
      <c r="O376" s="41"/>
      <c r="P376" s="44"/>
      <c r="Q376" s="44"/>
      <c r="R376" s="44"/>
      <c r="T376" s="41"/>
      <c r="U376" s="41"/>
      <c r="V376" s="41"/>
      <c r="W376" s="41"/>
      <c r="X376" s="41"/>
      <c r="Y376" s="44"/>
      <c r="Z376" s="44"/>
      <c r="AA376" s="44"/>
      <c r="AC376" s="41"/>
      <c r="AD376" s="41"/>
      <c r="AE376" s="41"/>
      <c r="AF376" s="41"/>
      <c r="AG376" s="41"/>
      <c r="AH376" s="44"/>
      <c r="AI376" s="44"/>
      <c r="AJ376" s="44"/>
    </row>
    <row r="377" spans="11:36" x14ac:dyDescent="0.2">
      <c r="K377" s="41"/>
      <c r="L377" s="41"/>
      <c r="M377" s="41"/>
      <c r="N377" s="41"/>
      <c r="O377" s="41"/>
      <c r="P377" s="44"/>
      <c r="Q377" s="44"/>
      <c r="R377" s="44"/>
      <c r="T377" s="41"/>
      <c r="U377" s="41"/>
      <c r="V377" s="41"/>
      <c r="W377" s="41"/>
      <c r="X377" s="41"/>
      <c r="Y377" s="44"/>
      <c r="Z377" s="44"/>
      <c r="AA377" s="44"/>
      <c r="AC377" s="41"/>
      <c r="AD377" s="41"/>
      <c r="AE377" s="41"/>
      <c r="AF377" s="41"/>
      <c r="AG377" s="41"/>
      <c r="AH377" s="44"/>
      <c r="AI377" s="44"/>
      <c r="AJ377" s="44"/>
    </row>
    <row r="378" spans="11:36" x14ac:dyDescent="0.2">
      <c r="K378" s="41"/>
      <c r="L378" s="41"/>
      <c r="M378" s="41"/>
      <c r="N378" s="41"/>
      <c r="O378" s="41"/>
      <c r="P378" s="44"/>
      <c r="Q378" s="44"/>
      <c r="R378" s="44"/>
      <c r="T378" s="41"/>
      <c r="U378" s="41"/>
      <c r="V378" s="41"/>
      <c r="W378" s="41"/>
      <c r="X378" s="41"/>
      <c r="Y378" s="44"/>
      <c r="Z378" s="44"/>
      <c r="AA378" s="44"/>
      <c r="AC378" s="41"/>
      <c r="AD378" s="41"/>
      <c r="AE378" s="41"/>
      <c r="AF378" s="41"/>
      <c r="AG378" s="41"/>
      <c r="AH378" s="44"/>
      <c r="AI378" s="44"/>
      <c r="AJ378" s="44"/>
    </row>
    <row r="379" spans="11:36" x14ac:dyDescent="0.2">
      <c r="K379" s="41"/>
      <c r="L379" s="41"/>
      <c r="M379" s="41"/>
      <c r="N379" s="41"/>
      <c r="O379" s="41"/>
      <c r="P379" s="44"/>
      <c r="Q379" s="44"/>
      <c r="R379" s="44"/>
      <c r="T379" s="41"/>
      <c r="U379" s="41"/>
      <c r="V379" s="41"/>
      <c r="W379" s="41"/>
      <c r="X379" s="41"/>
      <c r="Y379" s="44"/>
      <c r="Z379" s="44"/>
      <c r="AA379" s="44"/>
      <c r="AC379" s="41"/>
      <c r="AD379" s="41"/>
      <c r="AE379" s="41"/>
      <c r="AF379" s="41"/>
      <c r="AG379" s="41"/>
      <c r="AH379" s="44"/>
      <c r="AI379" s="44"/>
      <c r="AJ379" s="44"/>
    </row>
    <row r="380" spans="11:36" x14ac:dyDescent="0.2">
      <c r="K380" s="41"/>
      <c r="L380" s="41"/>
      <c r="M380" s="41"/>
      <c r="N380" s="41"/>
      <c r="O380" s="41"/>
      <c r="P380" s="44"/>
      <c r="Q380" s="44"/>
      <c r="R380" s="44"/>
      <c r="T380" s="41"/>
      <c r="U380" s="41"/>
      <c r="V380" s="41"/>
      <c r="W380" s="41"/>
      <c r="X380" s="41"/>
      <c r="Y380" s="44"/>
      <c r="Z380" s="44"/>
      <c r="AA380" s="44"/>
      <c r="AC380" s="41"/>
      <c r="AD380" s="41"/>
      <c r="AE380" s="41"/>
      <c r="AF380" s="41"/>
      <c r="AG380" s="41"/>
      <c r="AH380" s="44"/>
      <c r="AI380" s="44"/>
      <c r="AJ380" s="44"/>
    </row>
    <row r="381" spans="11:36" x14ac:dyDescent="0.2">
      <c r="K381" s="41"/>
      <c r="L381" s="41"/>
      <c r="M381" s="41"/>
      <c r="N381" s="41"/>
      <c r="O381" s="41"/>
      <c r="P381" s="44"/>
      <c r="Q381" s="44"/>
      <c r="R381" s="44"/>
      <c r="T381" s="41"/>
      <c r="U381" s="41"/>
      <c r="V381" s="41"/>
      <c r="W381" s="41"/>
      <c r="X381" s="41"/>
      <c r="Y381" s="44"/>
      <c r="Z381" s="44"/>
      <c r="AA381" s="44"/>
      <c r="AC381" s="41"/>
      <c r="AD381" s="41"/>
      <c r="AE381" s="41"/>
      <c r="AF381" s="41"/>
      <c r="AG381" s="41"/>
      <c r="AH381" s="44"/>
      <c r="AI381" s="44"/>
      <c r="AJ381" s="44"/>
    </row>
    <row r="382" spans="11:36" x14ac:dyDescent="0.2">
      <c r="K382" s="41"/>
      <c r="L382" s="41"/>
      <c r="M382" s="41"/>
      <c r="N382" s="41"/>
      <c r="O382" s="41"/>
      <c r="P382" s="44"/>
      <c r="Q382" s="44"/>
      <c r="R382" s="44"/>
      <c r="T382" s="41"/>
      <c r="U382" s="41"/>
      <c r="V382" s="41"/>
      <c r="W382" s="41"/>
      <c r="X382" s="41"/>
      <c r="Y382" s="44"/>
      <c r="Z382" s="44"/>
      <c r="AA382" s="44"/>
      <c r="AC382" s="41"/>
      <c r="AD382" s="41"/>
      <c r="AE382" s="41"/>
      <c r="AF382" s="41"/>
      <c r="AG382" s="41"/>
      <c r="AH382" s="44"/>
      <c r="AI382" s="44"/>
      <c r="AJ382" s="44"/>
    </row>
    <row r="383" spans="11:36" x14ac:dyDescent="0.2">
      <c r="K383" s="41"/>
      <c r="L383" s="41"/>
      <c r="M383" s="41"/>
      <c r="N383" s="41"/>
      <c r="O383" s="41"/>
      <c r="P383" s="44"/>
      <c r="Q383" s="44"/>
      <c r="R383" s="44"/>
      <c r="T383" s="41"/>
      <c r="U383" s="41"/>
      <c r="V383" s="41"/>
      <c r="W383" s="41"/>
      <c r="X383" s="41"/>
      <c r="Y383" s="44"/>
      <c r="Z383" s="44"/>
      <c r="AA383" s="44"/>
      <c r="AC383" s="41"/>
      <c r="AD383" s="41"/>
      <c r="AE383" s="41"/>
      <c r="AF383" s="41"/>
      <c r="AG383" s="41"/>
      <c r="AH383" s="44"/>
      <c r="AI383" s="44"/>
      <c r="AJ383" s="44"/>
    </row>
    <row r="384" spans="11:36" x14ac:dyDescent="0.2">
      <c r="K384" s="41"/>
      <c r="L384" s="41"/>
      <c r="M384" s="41"/>
      <c r="N384" s="41"/>
      <c r="O384" s="41"/>
      <c r="P384" s="44"/>
      <c r="Q384" s="44"/>
      <c r="R384" s="44"/>
      <c r="T384" s="41"/>
      <c r="U384" s="41"/>
      <c r="V384" s="41"/>
      <c r="W384" s="41"/>
      <c r="X384" s="41"/>
      <c r="Y384" s="44"/>
      <c r="Z384" s="44"/>
      <c r="AA384" s="44"/>
      <c r="AC384" s="41"/>
      <c r="AD384" s="41"/>
      <c r="AE384" s="41"/>
      <c r="AF384" s="41"/>
      <c r="AG384" s="41"/>
      <c r="AH384" s="44"/>
      <c r="AI384" s="44"/>
      <c r="AJ384" s="44"/>
    </row>
    <row r="385" spans="11:36" x14ac:dyDescent="0.2">
      <c r="K385" s="41"/>
      <c r="L385" s="41"/>
      <c r="M385" s="41"/>
      <c r="N385" s="41"/>
      <c r="O385" s="41"/>
      <c r="P385" s="44"/>
      <c r="Q385" s="44"/>
      <c r="R385" s="44"/>
      <c r="T385" s="41"/>
      <c r="U385" s="41"/>
      <c r="V385" s="41"/>
      <c r="W385" s="41"/>
      <c r="X385" s="41"/>
      <c r="Y385" s="44"/>
      <c r="Z385" s="44"/>
      <c r="AA385" s="44"/>
      <c r="AC385" s="41"/>
      <c r="AD385" s="41"/>
      <c r="AE385" s="41"/>
      <c r="AF385" s="41"/>
      <c r="AG385" s="41"/>
      <c r="AH385" s="44"/>
      <c r="AI385" s="44"/>
      <c r="AJ385" s="44"/>
    </row>
    <row r="386" spans="11:36" x14ac:dyDescent="0.2">
      <c r="K386" s="41"/>
      <c r="L386" s="41"/>
      <c r="M386" s="41"/>
      <c r="N386" s="41"/>
      <c r="O386" s="41"/>
      <c r="P386" s="44"/>
      <c r="Q386" s="44"/>
      <c r="R386" s="44"/>
      <c r="T386" s="41"/>
      <c r="U386" s="41"/>
      <c r="V386" s="41"/>
      <c r="W386" s="41"/>
      <c r="X386" s="41"/>
      <c r="Y386" s="44"/>
      <c r="Z386" s="44"/>
      <c r="AA386" s="44"/>
      <c r="AC386" s="41"/>
      <c r="AD386" s="41"/>
      <c r="AE386" s="41"/>
      <c r="AF386" s="41"/>
      <c r="AG386" s="41"/>
      <c r="AH386" s="44"/>
      <c r="AI386" s="44"/>
      <c r="AJ386" s="44"/>
    </row>
    <row r="387" spans="11:36" x14ac:dyDescent="0.2">
      <c r="K387" s="41"/>
      <c r="L387" s="41"/>
      <c r="M387" s="41"/>
      <c r="N387" s="41"/>
      <c r="O387" s="41"/>
      <c r="P387" s="44"/>
      <c r="Q387" s="44"/>
      <c r="R387" s="44"/>
      <c r="T387" s="41"/>
      <c r="U387" s="41"/>
      <c r="V387" s="41"/>
      <c r="W387" s="41"/>
      <c r="X387" s="41"/>
      <c r="Y387" s="44"/>
      <c r="Z387" s="44"/>
      <c r="AA387" s="44"/>
      <c r="AC387" s="41"/>
      <c r="AD387" s="41"/>
      <c r="AE387" s="41"/>
      <c r="AF387" s="41"/>
      <c r="AG387" s="41"/>
      <c r="AH387" s="44"/>
      <c r="AI387" s="44"/>
      <c r="AJ387" s="44"/>
    </row>
    <row r="388" spans="11:36" x14ac:dyDescent="0.2">
      <c r="K388" s="41"/>
      <c r="L388" s="41"/>
      <c r="M388" s="41"/>
      <c r="N388" s="41"/>
      <c r="O388" s="41"/>
      <c r="P388" s="44"/>
      <c r="Q388" s="44"/>
      <c r="R388" s="44"/>
      <c r="T388" s="41"/>
      <c r="U388" s="41"/>
      <c r="V388" s="41"/>
      <c r="W388" s="41"/>
      <c r="X388" s="41"/>
      <c r="Y388" s="44"/>
      <c r="Z388" s="44"/>
      <c r="AA388" s="44"/>
      <c r="AC388" s="41"/>
      <c r="AD388" s="41"/>
      <c r="AE388" s="41"/>
      <c r="AF388" s="41"/>
      <c r="AG388" s="41"/>
      <c r="AH388" s="44"/>
      <c r="AI388" s="44"/>
      <c r="AJ388" s="44"/>
    </row>
    <row r="389" spans="11:36" x14ac:dyDescent="0.2">
      <c r="K389" s="41"/>
      <c r="L389" s="41"/>
      <c r="M389" s="41"/>
      <c r="N389" s="41"/>
      <c r="O389" s="41"/>
      <c r="P389" s="44"/>
      <c r="Q389" s="44"/>
      <c r="R389" s="44"/>
      <c r="T389" s="41"/>
      <c r="U389" s="41"/>
      <c r="V389" s="41"/>
      <c r="W389" s="41"/>
      <c r="X389" s="41"/>
      <c r="Y389" s="44"/>
      <c r="Z389" s="44"/>
      <c r="AA389" s="44"/>
      <c r="AC389" s="41"/>
      <c r="AD389" s="41"/>
      <c r="AE389" s="41"/>
      <c r="AF389" s="41"/>
      <c r="AG389" s="41"/>
      <c r="AH389" s="44"/>
      <c r="AI389" s="44"/>
      <c r="AJ389" s="44"/>
    </row>
    <row r="390" spans="11:36" x14ac:dyDescent="0.2">
      <c r="K390" s="41"/>
      <c r="L390" s="41"/>
      <c r="M390" s="41"/>
      <c r="N390" s="41"/>
      <c r="O390" s="41"/>
      <c r="P390" s="44"/>
      <c r="Q390" s="44"/>
      <c r="R390" s="44"/>
      <c r="T390" s="41"/>
      <c r="U390" s="41"/>
      <c r="V390" s="41"/>
      <c r="W390" s="41"/>
      <c r="X390" s="41"/>
      <c r="Y390" s="44"/>
      <c r="Z390" s="44"/>
      <c r="AA390" s="44"/>
      <c r="AC390" s="41"/>
      <c r="AD390" s="41"/>
      <c r="AE390" s="41"/>
      <c r="AF390" s="41"/>
      <c r="AG390" s="41"/>
      <c r="AH390" s="44"/>
      <c r="AI390" s="44"/>
      <c r="AJ390" s="44"/>
    </row>
    <row r="391" spans="11:36" x14ac:dyDescent="0.2">
      <c r="K391" s="41"/>
      <c r="L391" s="41"/>
      <c r="M391" s="41"/>
      <c r="N391" s="41"/>
      <c r="O391" s="41"/>
      <c r="P391" s="44"/>
      <c r="Q391" s="44"/>
      <c r="R391" s="44"/>
      <c r="T391" s="41"/>
      <c r="U391" s="41"/>
      <c r="V391" s="41"/>
      <c r="W391" s="41"/>
      <c r="X391" s="41"/>
      <c r="Y391" s="44"/>
      <c r="Z391" s="44"/>
      <c r="AA391" s="44"/>
      <c r="AC391" s="41"/>
      <c r="AD391" s="41"/>
      <c r="AE391" s="41"/>
      <c r="AF391" s="41"/>
      <c r="AG391" s="41"/>
      <c r="AH391" s="44"/>
      <c r="AI391" s="44"/>
      <c r="AJ391" s="44"/>
    </row>
    <row r="392" spans="11:36" x14ac:dyDescent="0.2">
      <c r="K392" s="41"/>
      <c r="L392" s="41"/>
      <c r="M392" s="41"/>
      <c r="N392" s="41"/>
      <c r="O392" s="41"/>
      <c r="P392" s="44"/>
      <c r="Q392" s="44"/>
      <c r="R392" s="44"/>
      <c r="T392" s="41"/>
      <c r="U392" s="41"/>
      <c r="V392" s="41"/>
      <c r="W392" s="41"/>
      <c r="X392" s="41"/>
      <c r="Y392" s="44"/>
      <c r="Z392" s="44"/>
      <c r="AA392" s="44"/>
      <c r="AC392" s="41"/>
      <c r="AD392" s="41"/>
      <c r="AE392" s="41"/>
      <c r="AF392" s="41"/>
      <c r="AG392" s="41"/>
      <c r="AH392" s="44"/>
      <c r="AI392" s="44"/>
      <c r="AJ392" s="44"/>
    </row>
    <row r="393" spans="11:36" x14ac:dyDescent="0.2">
      <c r="K393" s="41"/>
      <c r="L393" s="41"/>
      <c r="M393" s="41"/>
      <c r="N393" s="41"/>
      <c r="O393" s="41"/>
      <c r="P393" s="44"/>
      <c r="Q393" s="44"/>
      <c r="R393" s="44"/>
      <c r="T393" s="41"/>
      <c r="U393" s="41"/>
      <c r="V393" s="41"/>
      <c r="W393" s="41"/>
      <c r="X393" s="41"/>
      <c r="Y393" s="44"/>
      <c r="Z393" s="44"/>
      <c r="AA393" s="44"/>
      <c r="AC393" s="41"/>
      <c r="AD393" s="41"/>
      <c r="AE393" s="41"/>
      <c r="AF393" s="41"/>
      <c r="AG393" s="41"/>
      <c r="AH393" s="44"/>
      <c r="AI393" s="44"/>
      <c r="AJ393" s="44"/>
    </row>
    <row r="394" spans="11:36" x14ac:dyDescent="0.2">
      <c r="K394" s="41"/>
      <c r="L394" s="41"/>
      <c r="M394" s="41"/>
      <c r="N394" s="41"/>
      <c r="O394" s="41"/>
      <c r="P394" s="44"/>
      <c r="Q394" s="44"/>
      <c r="R394" s="44"/>
      <c r="T394" s="41"/>
      <c r="U394" s="41"/>
      <c r="V394" s="41"/>
      <c r="W394" s="41"/>
      <c r="X394" s="41"/>
      <c r="Y394" s="44"/>
      <c r="Z394" s="44"/>
      <c r="AA394" s="44"/>
      <c r="AC394" s="41"/>
      <c r="AD394" s="41"/>
      <c r="AE394" s="41"/>
      <c r="AF394" s="41"/>
      <c r="AG394" s="41"/>
      <c r="AH394" s="44"/>
      <c r="AI394" s="44"/>
      <c r="AJ394" s="44"/>
    </row>
    <row r="395" spans="11:36" x14ac:dyDescent="0.2">
      <c r="K395" s="41"/>
      <c r="L395" s="41"/>
      <c r="M395" s="41"/>
      <c r="N395" s="41"/>
      <c r="O395" s="41"/>
      <c r="P395" s="44"/>
      <c r="Q395" s="44"/>
      <c r="R395" s="44"/>
      <c r="T395" s="41"/>
      <c r="U395" s="41"/>
      <c r="V395" s="41"/>
      <c r="W395" s="41"/>
      <c r="X395" s="41"/>
      <c r="Y395" s="44"/>
      <c r="Z395" s="44"/>
      <c r="AA395" s="44"/>
      <c r="AC395" s="41"/>
      <c r="AD395" s="41"/>
      <c r="AE395" s="41"/>
      <c r="AF395" s="41"/>
      <c r="AG395" s="41"/>
      <c r="AH395" s="44"/>
      <c r="AI395" s="44"/>
      <c r="AJ395" s="44"/>
    </row>
    <row r="396" spans="11:36" x14ac:dyDescent="0.2">
      <c r="K396" s="41"/>
      <c r="L396" s="41"/>
      <c r="M396" s="41"/>
      <c r="N396" s="41"/>
      <c r="O396" s="41"/>
      <c r="P396" s="44"/>
      <c r="Q396" s="44"/>
      <c r="R396" s="44"/>
      <c r="T396" s="41"/>
      <c r="U396" s="41"/>
      <c r="V396" s="41"/>
      <c r="W396" s="41"/>
      <c r="X396" s="41"/>
      <c r="Y396" s="44"/>
      <c r="Z396" s="44"/>
      <c r="AA396" s="44"/>
      <c r="AC396" s="41"/>
      <c r="AD396" s="41"/>
      <c r="AE396" s="41"/>
      <c r="AF396" s="41"/>
      <c r="AG396" s="41"/>
      <c r="AH396" s="44"/>
      <c r="AI396" s="44"/>
      <c r="AJ396" s="44"/>
    </row>
    <row r="397" spans="11:36" x14ac:dyDescent="0.2">
      <c r="K397" s="41"/>
      <c r="L397" s="41"/>
      <c r="M397" s="41"/>
      <c r="N397" s="41"/>
      <c r="O397" s="41"/>
      <c r="P397" s="44"/>
      <c r="Q397" s="44"/>
      <c r="R397" s="44"/>
      <c r="T397" s="41"/>
      <c r="U397" s="41"/>
      <c r="V397" s="41"/>
      <c r="W397" s="41"/>
      <c r="X397" s="41"/>
      <c r="Y397" s="44"/>
      <c r="Z397" s="44"/>
      <c r="AA397" s="44"/>
      <c r="AC397" s="41"/>
      <c r="AD397" s="41"/>
      <c r="AE397" s="41"/>
      <c r="AF397" s="41"/>
      <c r="AG397" s="41"/>
      <c r="AH397" s="44"/>
      <c r="AI397" s="44"/>
      <c r="AJ397" s="44"/>
    </row>
    <row r="398" spans="11:36" x14ac:dyDescent="0.2">
      <c r="K398" s="41"/>
      <c r="L398" s="41"/>
      <c r="M398" s="41"/>
      <c r="N398" s="41"/>
      <c r="O398" s="41"/>
      <c r="P398" s="44"/>
      <c r="Q398" s="44"/>
      <c r="R398" s="44"/>
      <c r="T398" s="41"/>
      <c r="U398" s="41"/>
      <c r="V398" s="41"/>
      <c r="W398" s="41"/>
      <c r="X398" s="41"/>
      <c r="Y398" s="44"/>
      <c r="Z398" s="44"/>
      <c r="AA398" s="44"/>
      <c r="AC398" s="41"/>
      <c r="AD398" s="41"/>
      <c r="AE398" s="41"/>
      <c r="AF398" s="41"/>
      <c r="AG398" s="41"/>
      <c r="AH398" s="44"/>
      <c r="AI398" s="44"/>
      <c r="AJ398" s="44"/>
    </row>
    <row r="399" spans="11:36" x14ac:dyDescent="0.2">
      <c r="K399" s="41"/>
      <c r="L399" s="41"/>
      <c r="M399" s="41"/>
      <c r="N399" s="41"/>
      <c r="O399" s="41"/>
      <c r="P399" s="44"/>
      <c r="Q399" s="44"/>
      <c r="R399" s="44"/>
      <c r="T399" s="41"/>
      <c r="U399" s="41"/>
      <c r="V399" s="41"/>
      <c r="W399" s="41"/>
      <c r="X399" s="41"/>
      <c r="Y399" s="44"/>
      <c r="Z399" s="44"/>
      <c r="AA399" s="44"/>
      <c r="AC399" s="41"/>
      <c r="AD399" s="41"/>
      <c r="AE399" s="41"/>
      <c r="AF399" s="41"/>
      <c r="AG399" s="41"/>
      <c r="AH399" s="44"/>
      <c r="AI399" s="44"/>
      <c r="AJ399" s="44"/>
    </row>
    <row r="400" spans="11:36" x14ac:dyDescent="0.2">
      <c r="K400" s="41"/>
      <c r="L400" s="41"/>
      <c r="M400" s="41"/>
      <c r="N400" s="41"/>
      <c r="O400" s="41"/>
      <c r="P400" s="44"/>
      <c r="Q400" s="44"/>
      <c r="R400" s="44"/>
      <c r="T400" s="41"/>
      <c r="U400" s="41"/>
      <c r="V400" s="41"/>
      <c r="W400" s="41"/>
      <c r="X400" s="41"/>
      <c r="Y400" s="44"/>
      <c r="Z400" s="44"/>
      <c r="AA400" s="44"/>
      <c r="AC400" s="41"/>
      <c r="AD400" s="41"/>
      <c r="AE400" s="41"/>
      <c r="AF400" s="41"/>
      <c r="AG400" s="41"/>
      <c r="AH400" s="44"/>
      <c r="AI400" s="44"/>
      <c r="AJ400" s="44"/>
    </row>
    <row r="401" spans="11:36" x14ac:dyDescent="0.2">
      <c r="K401" s="41"/>
      <c r="L401" s="41"/>
      <c r="M401" s="41"/>
      <c r="N401" s="41"/>
      <c r="O401" s="41"/>
      <c r="P401" s="44"/>
      <c r="Q401" s="44"/>
      <c r="R401" s="44"/>
      <c r="T401" s="41"/>
      <c r="U401" s="41"/>
      <c r="V401" s="41"/>
      <c r="W401" s="41"/>
      <c r="X401" s="41"/>
      <c r="Y401" s="44"/>
      <c r="Z401" s="44"/>
      <c r="AA401" s="44"/>
      <c r="AC401" s="41"/>
      <c r="AD401" s="41"/>
      <c r="AE401" s="41"/>
      <c r="AF401" s="41"/>
      <c r="AG401" s="41"/>
      <c r="AH401" s="44"/>
      <c r="AI401" s="44"/>
      <c r="AJ401" s="44"/>
    </row>
    <row r="402" spans="11:36" x14ac:dyDescent="0.2">
      <c r="K402" s="41"/>
      <c r="L402" s="41"/>
      <c r="M402" s="41"/>
      <c r="N402" s="41"/>
      <c r="O402" s="41"/>
      <c r="P402" s="44"/>
      <c r="Q402" s="44"/>
      <c r="R402" s="44"/>
      <c r="T402" s="41"/>
      <c r="U402" s="41"/>
      <c r="V402" s="41"/>
      <c r="W402" s="41"/>
      <c r="X402" s="41"/>
      <c r="Y402" s="44"/>
      <c r="Z402" s="44"/>
      <c r="AA402" s="44"/>
      <c r="AC402" s="41"/>
      <c r="AD402" s="41"/>
      <c r="AE402" s="41"/>
      <c r="AF402" s="41"/>
      <c r="AG402" s="41"/>
      <c r="AH402" s="44"/>
      <c r="AI402" s="44"/>
      <c r="AJ402" s="44"/>
    </row>
    <row r="403" spans="11:36" x14ac:dyDescent="0.2">
      <c r="K403" s="41"/>
      <c r="L403" s="41"/>
      <c r="M403" s="41"/>
      <c r="N403" s="41"/>
      <c r="O403" s="41"/>
      <c r="P403" s="44"/>
      <c r="Q403" s="44"/>
      <c r="R403" s="44"/>
      <c r="T403" s="41"/>
      <c r="U403" s="41"/>
      <c r="V403" s="41"/>
      <c r="W403" s="41"/>
      <c r="X403" s="41"/>
      <c r="Y403" s="44"/>
      <c r="Z403" s="44"/>
      <c r="AA403" s="44"/>
      <c r="AC403" s="41"/>
      <c r="AD403" s="41"/>
      <c r="AE403" s="41"/>
      <c r="AF403" s="41"/>
      <c r="AG403" s="41"/>
      <c r="AH403" s="44"/>
      <c r="AI403" s="44"/>
      <c r="AJ403" s="44"/>
    </row>
    <row r="404" spans="11:36" x14ac:dyDescent="0.2">
      <c r="K404" s="41"/>
      <c r="L404" s="41"/>
      <c r="M404" s="41"/>
      <c r="N404" s="41"/>
      <c r="O404" s="41"/>
      <c r="P404" s="44"/>
      <c r="Q404" s="44"/>
      <c r="R404" s="44"/>
      <c r="T404" s="41"/>
      <c r="U404" s="41"/>
      <c r="V404" s="41"/>
      <c r="W404" s="41"/>
      <c r="X404" s="41"/>
      <c r="Y404" s="44"/>
      <c r="Z404" s="44"/>
      <c r="AA404" s="44"/>
      <c r="AC404" s="41"/>
      <c r="AD404" s="41"/>
      <c r="AE404" s="41"/>
      <c r="AF404" s="41"/>
      <c r="AG404" s="41"/>
      <c r="AH404" s="44"/>
      <c r="AI404" s="44"/>
      <c r="AJ404" s="44"/>
    </row>
    <row r="405" spans="11:36" x14ac:dyDescent="0.2">
      <c r="K405" s="41"/>
      <c r="L405" s="41"/>
      <c r="M405" s="41"/>
      <c r="N405" s="41"/>
      <c r="O405" s="41"/>
      <c r="P405" s="44"/>
      <c r="Q405" s="44"/>
      <c r="R405" s="44"/>
      <c r="T405" s="41"/>
      <c r="U405" s="41"/>
      <c r="V405" s="41"/>
      <c r="W405" s="41"/>
      <c r="X405" s="41"/>
      <c r="Y405" s="44"/>
      <c r="Z405" s="44"/>
      <c r="AA405" s="44"/>
      <c r="AC405" s="41"/>
      <c r="AD405" s="41"/>
      <c r="AE405" s="41"/>
      <c r="AF405" s="41"/>
      <c r="AG405" s="41"/>
      <c r="AH405" s="44"/>
      <c r="AI405" s="44"/>
      <c r="AJ405" s="44"/>
    </row>
    <row r="406" spans="11:36" x14ac:dyDescent="0.2">
      <c r="K406" s="41"/>
      <c r="L406" s="41"/>
      <c r="M406" s="41"/>
      <c r="N406" s="41"/>
      <c r="O406" s="41"/>
      <c r="P406" s="44"/>
      <c r="Q406" s="44"/>
      <c r="R406" s="44"/>
      <c r="T406" s="41"/>
      <c r="U406" s="41"/>
      <c r="V406" s="41"/>
      <c r="W406" s="41"/>
      <c r="X406" s="41"/>
      <c r="Y406" s="44"/>
      <c r="Z406" s="44"/>
      <c r="AA406" s="44"/>
      <c r="AC406" s="41"/>
      <c r="AD406" s="41"/>
      <c r="AE406" s="41"/>
      <c r="AF406" s="41"/>
      <c r="AG406" s="41"/>
      <c r="AH406" s="44"/>
      <c r="AI406" s="44"/>
      <c r="AJ406" s="44"/>
    </row>
    <row r="407" spans="11:36" x14ac:dyDescent="0.2">
      <c r="K407" s="41"/>
      <c r="L407" s="41"/>
      <c r="M407" s="41"/>
      <c r="N407" s="41"/>
      <c r="O407" s="41"/>
      <c r="P407" s="44"/>
      <c r="Q407" s="44"/>
      <c r="R407" s="44"/>
      <c r="T407" s="41"/>
      <c r="U407" s="41"/>
      <c r="V407" s="41"/>
      <c r="W407" s="41"/>
      <c r="X407" s="41"/>
      <c r="Y407" s="44"/>
      <c r="Z407" s="44"/>
      <c r="AA407" s="44"/>
      <c r="AC407" s="41"/>
      <c r="AD407" s="41"/>
      <c r="AE407" s="41"/>
      <c r="AF407" s="41"/>
      <c r="AG407" s="41"/>
      <c r="AH407" s="44"/>
      <c r="AI407" s="44"/>
      <c r="AJ407" s="44"/>
    </row>
    <row r="408" spans="11:36" x14ac:dyDescent="0.2">
      <c r="K408" s="41"/>
      <c r="L408" s="41"/>
      <c r="M408" s="41"/>
      <c r="N408" s="41"/>
      <c r="O408" s="41"/>
      <c r="P408" s="44"/>
      <c r="Q408" s="44"/>
      <c r="R408" s="44"/>
      <c r="T408" s="41"/>
      <c r="U408" s="41"/>
      <c r="V408" s="41"/>
      <c r="W408" s="41"/>
      <c r="X408" s="41"/>
      <c r="Y408" s="44"/>
      <c r="Z408" s="44"/>
      <c r="AA408" s="44"/>
      <c r="AC408" s="41"/>
      <c r="AD408" s="41"/>
      <c r="AE408" s="41"/>
      <c r="AF408" s="41"/>
      <c r="AG408" s="41"/>
      <c r="AH408" s="44"/>
      <c r="AI408" s="44"/>
      <c r="AJ408" s="44"/>
    </row>
    <row r="409" spans="11:36" x14ac:dyDescent="0.2">
      <c r="K409" s="41"/>
      <c r="L409" s="41"/>
      <c r="M409" s="41"/>
      <c r="N409" s="41"/>
      <c r="O409" s="41"/>
      <c r="P409" s="44"/>
      <c r="Q409" s="44"/>
      <c r="R409" s="44"/>
      <c r="T409" s="41"/>
      <c r="U409" s="41"/>
      <c r="V409" s="41"/>
      <c r="W409" s="41"/>
      <c r="X409" s="41"/>
      <c r="Y409" s="44"/>
      <c r="Z409" s="44"/>
      <c r="AA409" s="44"/>
      <c r="AC409" s="41"/>
      <c r="AD409" s="41"/>
      <c r="AE409" s="41"/>
      <c r="AF409" s="41"/>
      <c r="AG409" s="41"/>
      <c r="AH409" s="44"/>
      <c r="AI409" s="44"/>
      <c r="AJ409" s="44"/>
    </row>
    <row r="410" spans="11:36" x14ac:dyDescent="0.2">
      <c r="K410" s="41"/>
      <c r="L410" s="41"/>
      <c r="M410" s="41"/>
      <c r="N410" s="41"/>
      <c r="O410" s="41"/>
      <c r="P410" s="44"/>
      <c r="Q410" s="44"/>
      <c r="R410" s="44"/>
      <c r="T410" s="41"/>
      <c r="U410" s="41"/>
      <c r="V410" s="41"/>
      <c r="W410" s="41"/>
      <c r="X410" s="41"/>
      <c r="Y410" s="44"/>
      <c r="Z410" s="44"/>
      <c r="AA410" s="44"/>
      <c r="AC410" s="41"/>
      <c r="AD410" s="41"/>
      <c r="AE410" s="41"/>
      <c r="AF410" s="41"/>
      <c r="AG410" s="41"/>
      <c r="AH410" s="44"/>
      <c r="AI410" s="44"/>
      <c r="AJ410" s="44"/>
    </row>
    <row r="411" spans="11:36" x14ac:dyDescent="0.2">
      <c r="K411" s="41"/>
      <c r="L411" s="41"/>
      <c r="M411" s="41"/>
      <c r="N411" s="41"/>
      <c r="O411" s="41"/>
      <c r="P411" s="44"/>
      <c r="Q411" s="44"/>
      <c r="R411" s="44"/>
      <c r="T411" s="41"/>
      <c r="U411" s="41"/>
      <c r="V411" s="41"/>
      <c r="W411" s="41"/>
      <c r="X411" s="41"/>
      <c r="Y411" s="44"/>
      <c r="Z411" s="44"/>
      <c r="AA411" s="44"/>
      <c r="AC411" s="41"/>
      <c r="AD411" s="41"/>
      <c r="AE411" s="41"/>
      <c r="AF411" s="41"/>
      <c r="AG411" s="41"/>
      <c r="AH411" s="44"/>
      <c r="AI411" s="44"/>
      <c r="AJ411" s="44"/>
    </row>
    <row r="412" spans="11:36" x14ac:dyDescent="0.2">
      <c r="K412" s="41"/>
      <c r="L412" s="41"/>
      <c r="M412" s="41"/>
      <c r="N412" s="41"/>
      <c r="O412" s="41"/>
      <c r="P412" s="44"/>
      <c r="Q412" s="44"/>
      <c r="R412" s="44"/>
      <c r="T412" s="41"/>
      <c r="U412" s="41"/>
      <c r="V412" s="41"/>
      <c r="W412" s="41"/>
      <c r="X412" s="41"/>
      <c r="Y412" s="44"/>
      <c r="Z412" s="44"/>
      <c r="AA412" s="44"/>
      <c r="AC412" s="41"/>
      <c r="AD412" s="41"/>
      <c r="AE412" s="41"/>
      <c r="AF412" s="41"/>
      <c r="AG412" s="41"/>
      <c r="AH412" s="44"/>
      <c r="AI412" s="44"/>
      <c r="AJ412" s="44"/>
    </row>
    <row r="413" spans="11:36" x14ac:dyDescent="0.2">
      <c r="K413" s="41"/>
      <c r="L413" s="41"/>
      <c r="M413" s="41"/>
      <c r="N413" s="41"/>
      <c r="O413" s="41"/>
      <c r="P413" s="44"/>
      <c r="Q413" s="44"/>
      <c r="R413" s="44"/>
      <c r="T413" s="41"/>
      <c r="U413" s="41"/>
      <c r="V413" s="41"/>
      <c r="W413" s="41"/>
      <c r="X413" s="41"/>
      <c r="Y413" s="44"/>
      <c r="Z413" s="44"/>
      <c r="AA413" s="44"/>
      <c r="AC413" s="41"/>
      <c r="AD413" s="41"/>
      <c r="AE413" s="41"/>
      <c r="AF413" s="41"/>
      <c r="AG413" s="41"/>
      <c r="AH413" s="44"/>
      <c r="AI413" s="44"/>
      <c r="AJ413" s="44"/>
    </row>
    <row r="414" spans="11:36" x14ac:dyDescent="0.2">
      <c r="K414" s="41"/>
      <c r="L414" s="41"/>
      <c r="M414" s="41"/>
      <c r="N414" s="41"/>
      <c r="O414" s="41"/>
      <c r="P414" s="44"/>
      <c r="Q414" s="44"/>
      <c r="R414" s="44"/>
      <c r="T414" s="41"/>
      <c r="U414" s="41"/>
      <c r="V414" s="41"/>
      <c r="W414" s="41"/>
      <c r="X414" s="41"/>
      <c r="Y414" s="44"/>
      <c r="Z414" s="44"/>
      <c r="AA414" s="44"/>
      <c r="AC414" s="41"/>
      <c r="AD414" s="41"/>
      <c r="AE414" s="41"/>
      <c r="AF414" s="41"/>
      <c r="AG414" s="41"/>
      <c r="AH414" s="44"/>
      <c r="AI414" s="44"/>
      <c r="AJ414" s="44"/>
    </row>
    <row r="415" spans="11:36" x14ac:dyDescent="0.2">
      <c r="K415" s="41"/>
      <c r="L415" s="41"/>
      <c r="M415" s="41"/>
      <c r="N415" s="41"/>
      <c r="O415" s="41"/>
      <c r="P415" s="44"/>
      <c r="Q415" s="44"/>
      <c r="R415" s="44"/>
      <c r="T415" s="41"/>
      <c r="U415" s="41"/>
      <c r="V415" s="41"/>
      <c r="W415" s="41"/>
      <c r="X415" s="41"/>
      <c r="Y415" s="44"/>
      <c r="Z415" s="44"/>
      <c r="AA415" s="44"/>
      <c r="AC415" s="41"/>
      <c r="AD415" s="41"/>
      <c r="AE415" s="41"/>
      <c r="AF415" s="41"/>
      <c r="AG415" s="41"/>
      <c r="AH415" s="44"/>
      <c r="AI415" s="44"/>
      <c r="AJ415" s="44"/>
    </row>
    <row r="416" spans="11:36" x14ac:dyDescent="0.2">
      <c r="K416" s="41"/>
      <c r="L416" s="41"/>
      <c r="M416" s="41"/>
      <c r="N416" s="41"/>
      <c r="O416" s="41"/>
      <c r="P416" s="44"/>
      <c r="Q416" s="44"/>
      <c r="R416" s="44"/>
      <c r="T416" s="41"/>
      <c r="U416" s="41"/>
      <c r="V416" s="41"/>
      <c r="W416" s="41"/>
      <c r="X416" s="41"/>
      <c r="Y416" s="44"/>
      <c r="Z416" s="44"/>
      <c r="AA416" s="44"/>
      <c r="AC416" s="41"/>
      <c r="AD416" s="41"/>
      <c r="AE416" s="41"/>
      <c r="AF416" s="41"/>
      <c r="AG416" s="41"/>
      <c r="AH416" s="44"/>
      <c r="AI416" s="44"/>
      <c r="AJ416" s="44"/>
    </row>
    <row r="417" spans="11:36" x14ac:dyDescent="0.2">
      <c r="K417" s="41"/>
      <c r="L417" s="41"/>
      <c r="M417" s="41"/>
      <c r="N417" s="41"/>
      <c r="O417" s="41"/>
      <c r="P417" s="44"/>
      <c r="Q417" s="44"/>
      <c r="R417" s="44"/>
      <c r="T417" s="41"/>
      <c r="U417" s="41"/>
      <c r="V417" s="41"/>
      <c r="W417" s="41"/>
      <c r="X417" s="41"/>
      <c r="Y417" s="44"/>
      <c r="Z417" s="44"/>
      <c r="AA417" s="44"/>
      <c r="AC417" s="41"/>
      <c r="AD417" s="41"/>
      <c r="AE417" s="41"/>
      <c r="AF417" s="41"/>
      <c r="AG417" s="41"/>
      <c r="AH417" s="44"/>
      <c r="AI417" s="44"/>
      <c r="AJ417" s="44"/>
    </row>
    <row r="418" spans="11:36" x14ac:dyDescent="0.2">
      <c r="K418" s="41"/>
      <c r="L418" s="41"/>
      <c r="M418" s="41"/>
      <c r="N418" s="41"/>
      <c r="O418" s="41"/>
      <c r="P418" s="44"/>
      <c r="Q418" s="44"/>
      <c r="R418" s="44"/>
      <c r="T418" s="41"/>
      <c r="U418" s="41"/>
      <c r="V418" s="41"/>
      <c r="W418" s="41"/>
      <c r="X418" s="41"/>
      <c r="Y418" s="44"/>
      <c r="Z418" s="44"/>
      <c r="AA418" s="44"/>
      <c r="AC418" s="41"/>
      <c r="AD418" s="41"/>
      <c r="AE418" s="41"/>
      <c r="AF418" s="41"/>
      <c r="AG418" s="41"/>
      <c r="AH418" s="44"/>
      <c r="AI418" s="44"/>
      <c r="AJ418" s="44"/>
    </row>
    <row r="419" spans="11:36" x14ac:dyDescent="0.2">
      <c r="K419" s="41"/>
      <c r="L419" s="41"/>
      <c r="M419" s="41"/>
      <c r="N419" s="41"/>
      <c r="O419" s="41"/>
      <c r="P419" s="44"/>
      <c r="Q419" s="44"/>
      <c r="R419" s="44"/>
      <c r="T419" s="41"/>
      <c r="U419" s="41"/>
      <c r="V419" s="41"/>
      <c r="W419" s="41"/>
      <c r="X419" s="41"/>
      <c r="Y419" s="44"/>
      <c r="Z419" s="44"/>
      <c r="AA419" s="44"/>
      <c r="AC419" s="41"/>
      <c r="AD419" s="41"/>
      <c r="AE419" s="41"/>
      <c r="AF419" s="41"/>
      <c r="AG419" s="41"/>
      <c r="AH419" s="44"/>
      <c r="AI419" s="44"/>
      <c r="AJ419" s="44"/>
    </row>
    <row r="420" spans="11:36" x14ac:dyDescent="0.2">
      <c r="K420" s="41"/>
      <c r="L420" s="41"/>
      <c r="M420" s="41"/>
      <c r="N420" s="41"/>
      <c r="O420" s="41"/>
      <c r="P420" s="44"/>
      <c r="Q420" s="44"/>
      <c r="R420" s="44"/>
      <c r="T420" s="41"/>
      <c r="U420" s="41"/>
      <c r="V420" s="41"/>
      <c r="W420" s="41"/>
      <c r="X420" s="41"/>
      <c r="Y420" s="44"/>
      <c r="Z420" s="44"/>
      <c r="AA420" s="44"/>
      <c r="AC420" s="41"/>
      <c r="AD420" s="41"/>
      <c r="AE420" s="41"/>
      <c r="AF420" s="41"/>
      <c r="AG420" s="41"/>
      <c r="AH420" s="44"/>
      <c r="AI420" s="44"/>
      <c r="AJ420" s="44"/>
    </row>
    <row r="421" spans="11:36" x14ac:dyDescent="0.2">
      <c r="K421" s="41"/>
      <c r="L421" s="41"/>
      <c r="M421" s="41"/>
      <c r="N421" s="41"/>
      <c r="O421" s="41"/>
      <c r="P421" s="44"/>
      <c r="Q421" s="44"/>
      <c r="R421" s="44"/>
      <c r="T421" s="41"/>
      <c r="U421" s="41"/>
      <c r="V421" s="41"/>
      <c r="W421" s="41"/>
      <c r="X421" s="41"/>
      <c r="Y421" s="44"/>
      <c r="Z421" s="44"/>
      <c r="AA421" s="44"/>
      <c r="AC421" s="41"/>
      <c r="AD421" s="41"/>
      <c r="AE421" s="41"/>
      <c r="AF421" s="41"/>
      <c r="AG421" s="41"/>
      <c r="AH421" s="44"/>
      <c r="AI421" s="44"/>
      <c r="AJ421" s="44"/>
    </row>
    <row r="422" spans="11:36" x14ac:dyDescent="0.2">
      <c r="K422" s="41"/>
      <c r="L422" s="41"/>
      <c r="M422" s="41"/>
      <c r="N422" s="41"/>
      <c r="O422" s="41"/>
      <c r="P422" s="44"/>
      <c r="Q422" s="44"/>
      <c r="R422" s="44"/>
      <c r="T422" s="41"/>
      <c r="U422" s="41"/>
      <c r="V422" s="41"/>
      <c r="W422" s="41"/>
      <c r="X422" s="41"/>
      <c r="Y422" s="44"/>
      <c r="Z422" s="44"/>
      <c r="AA422" s="44"/>
      <c r="AC422" s="41"/>
      <c r="AD422" s="41"/>
      <c r="AE422" s="41"/>
      <c r="AF422" s="41"/>
      <c r="AG422" s="41"/>
      <c r="AH422" s="44"/>
      <c r="AI422" s="44"/>
      <c r="AJ422" s="44"/>
    </row>
    <row r="423" spans="11:36" x14ac:dyDescent="0.2">
      <c r="K423" s="41"/>
      <c r="L423" s="41"/>
      <c r="M423" s="41"/>
      <c r="N423" s="41"/>
      <c r="O423" s="41"/>
      <c r="P423" s="44"/>
      <c r="Q423" s="44"/>
      <c r="R423" s="44"/>
      <c r="T423" s="41"/>
      <c r="U423" s="41"/>
      <c r="V423" s="41"/>
      <c r="W423" s="41"/>
      <c r="X423" s="41"/>
      <c r="Y423" s="44"/>
      <c r="Z423" s="44"/>
      <c r="AA423" s="44"/>
      <c r="AC423" s="41"/>
      <c r="AD423" s="41"/>
      <c r="AE423" s="41"/>
      <c r="AF423" s="41"/>
      <c r="AG423" s="41"/>
      <c r="AH423" s="44"/>
      <c r="AI423" s="44"/>
      <c r="AJ423" s="44"/>
    </row>
    <row r="424" spans="11:36" x14ac:dyDescent="0.2">
      <c r="K424" s="41"/>
      <c r="L424" s="41"/>
      <c r="M424" s="41"/>
      <c r="N424" s="41"/>
      <c r="O424" s="41"/>
      <c r="P424" s="44"/>
      <c r="Q424" s="44"/>
      <c r="R424" s="44"/>
      <c r="T424" s="41"/>
      <c r="U424" s="41"/>
      <c r="V424" s="41"/>
      <c r="W424" s="41"/>
      <c r="X424" s="41"/>
      <c r="Y424" s="44"/>
      <c r="Z424" s="44"/>
      <c r="AA424" s="44"/>
      <c r="AC424" s="41"/>
      <c r="AD424" s="41"/>
      <c r="AE424" s="41"/>
      <c r="AF424" s="41"/>
      <c r="AG424" s="41"/>
      <c r="AH424" s="44"/>
      <c r="AI424" s="44"/>
      <c r="AJ424" s="44"/>
    </row>
    <row r="425" spans="11:36" x14ac:dyDescent="0.2">
      <c r="K425" s="41"/>
      <c r="L425" s="41"/>
      <c r="M425" s="41"/>
      <c r="N425" s="41"/>
      <c r="O425" s="41"/>
      <c r="P425" s="44"/>
      <c r="Q425" s="44"/>
      <c r="R425" s="44"/>
      <c r="T425" s="41"/>
      <c r="U425" s="41"/>
      <c r="V425" s="41"/>
      <c r="W425" s="41"/>
      <c r="X425" s="41"/>
      <c r="Y425" s="44"/>
      <c r="Z425" s="44"/>
      <c r="AA425" s="44"/>
      <c r="AC425" s="41"/>
      <c r="AD425" s="41"/>
      <c r="AE425" s="41"/>
      <c r="AF425" s="41"/>
      <c r="AG425" s="41"/>
      <c r="AH425" s="44"/>
      <c r="AI425" s="44"/>
      <c r="AJ425" s="44"/>
    </row>
    <row r="426" spans="11:36" x14ac:dyDescent="0.2">
      <c r="K426" s="41"/>
      <c r="L426" s="41"/>
      <c r="M426" s="41"/>
      <c r="N426" s="41"/>
      <c r="O426" s="41"/>
      <c r="P426" s="44"/>
      <c r="Q426" s="44"/>
      <c r="R426" s="44"/>
      <c r="T426" s="41"/>
      <c r="U426" s="41"/>
      <c r="V426" s="41"/>
      <c r="W426" s="41"/>
      <c r="X426" s="41"/>
      <c r="Y426" s="44"/>
      <c r="Z426" s="44"/>
      <c r="AA426" s="44"/>
      <c r="AC426" s="41"/>
      <c r="AD426" s="41"/>
      <c r="AE426" s="41"/>
      <c r="AF426" s="41"/>
      <c r="AG426" s="41"/>
      <c r="AH426" s="44"/>
      <c r="AI426" s="44"/>
      <c r="AJ426" s="44"/>
    </row>
    <row r="427" spans="11:36" x14ac:dyDescent="0.2">
      <c r="K427" s="41"/>
      <c r="L427" s="41"/>
      <c r="M427" s="41"/>
      <c r="N427" s="41"/>
      <c r="O427" s="41"/>
      <c r="P427" s="44"/>
      <c r="Q427" s="44"/>
      <c r="R427" s="44"/>
      <c r="T427" s="41"/>
      <c r="U427" s="41"/>
      <c r="V427" s="41"/>
      <c r="W427" s="41"/>
      <c r="X427" s="41"/>
      <c r="Y427" s="44"/>
      <c r="Z427" s="44"/>
      <c r="AA427" s="44"/>
      <c r="AC427" s="41"/>
      <c r="AD427" s="41"/>
      <c r="AE427" s="41"/>
      <c r="AF427" s="41"/>
      <c r="AG427" s="41"/>
      <c r="AH427" s="44"/>
      <c r="AI427" s="44"/>
      <c r="AJ427" s="44"/>
    </row>
    <row r="428" spans="11:36" x14ac:dyDescent="0.2">
      <c r="K428" s="41"/>
      <c r="L428" s="41"/>
      <c r="M428" s="41"/>
      <c r="N428" s="41"/>
      <c r="O428" s="41"/>
      <c r="P428" s="44"/>
      <c r="Q428" s="44"/>
      <c r="R428" s="44"/>
      <c r="T428" s="41"/>
      <c r="U428" s="41"/>
      <c r="V428" s="41"/>
      <c r="W428" s="41"/>
      <c r="X428" s="41"/>
      <c r="Y428" s="44"/>
      <c r="Z428" s="44"/>
      <c r="AA428" s="44"/>
      <c r="AC428" s="41"/>
      <c r="AD428" s="41"/>
      <c r="AE428" s="41"/>
      <c r="AF428" s="41"/>
      <c r="AG428" s="41"/>
      <c r="AH428" s="44"/>
      <c r="AI428" s="44"/>
      <c r="AJ428" s="44"/>
    </row>
    <row r="429" spans="11:36" x14ac:dyDescent="0.2">
      <c r="K429" s="41"/>
      <c r="L429" s="41"/>
      <c r="M429" s="41"/>
      <c r="N429" s="41"/>
      <c r="O429" s="41"/>
      <c r="P429" s="44"/>
      <c r="Q429" s="44"/>
      <c r="R429" s="44"/>
      <c r="T429" s="41"/>
      <c r="U429" s="41"/>
      <c r="V429" s="41"/>
      <c r="W429" s="41"/>
      <c r="X429" s="41"/>
      <c r="Y429" s="44"/>
      <c r="Z429" s="44"/>
      <c r="AA429" s="44"/>
      <c r="AC429" s="41"/>
      <c r="AD429" s="41"/>
      <c r="AE429" s="41"/>
      <c r="AF429" s="41"/>
      <c r="AG429" s="41"/>
      <c r="AH429" s="44"/>
      <c r="AI429" s="44"/>
      <c r="AJ429" s="44"/>
    </row>
    <row r="430" spans="11:36" x14ac:dyDescent="0.2">
      <c r="K430" s="41"/>
      <c r="L430" s="41"/>
      <c r="M430" s="41"/>
      <c r="N430" s="41"/>
      <c r="O430" s="41"/>
      <c r="P430" s="44"/>
      <c r="Q430" s="44"/>
      <c r="R430" s="44"/>
      <c r="T430" s="41"/>
      <c r="U430" s="41"/>
      <c r="V430" s="41"/>
      <c r="W430" s="41"/>
      <c r="X430" s="41"/>
      <c r="Y430" s="44"/>
      <c r="Z430" s="44"/>
      <c r="AA430" s="44"/>
      <c r="AC430" s="41"/>
      <c r="AD430" s="41"/>
      <c r="AE430" s="41"/>
      <c r="AF430" s="41"/>
      <c r="AG430" s="41"/>
      <c r="AH430" s="44"/>
      <c r="AI430" s="44"/>
      <c r="AJ430" s="44"/>
    </row>
    <row r="431" spans="11:36" x14ac:dyDescent="0.2">
      <c r="K431" s="41"/>
      <c r="L431" s="41"/>
      <c r="M431" s="41"/>
      <c r="N431" s="41"/>
      <c r="O431" s="41"/>
      <c r="P431" s="44"/>
      <c r="Q431" s="44"/>
      <c r="R431" s="44"/>
      <c r="T431" s="41"/>
      <c r="U431" s="41"/>
      <c r="V431" s="41"/>
      <c r="W431" s="41"/>
      <c r="X431" s="41"/>
      <c r="Y431" s="44"/>
      <c r="Z431" s="44"/>
      <c r="AA431" s="44"/>
      <c r="AC431" s="41"/>
      <c r="AD431" s="41"/>
      <c r="AE431" s="41"/>
      <c r="AF431" s="41"/>
      <c r="AG431" s="41"/>
      <c r="AH431" s="44"/>
      <c r="AI431" s="44"/>
      <c r="AJ431" s="44"/>
    </row>
    <row r="432" spans="11:36" x14ac:dyDescent="0.2">
      <c r="K432" s="41"/>
      <c r="L432" s="41"/>
      <c r="M432" s="41"/>
      <c r="N432" s="41"/>
      <c r="O432" s="41"/>
      <c r="P432" s="44"/>
      <c r="Q432" s="44"/>
      <c r="R432" s="44"/>
      <c r="T432" s="41"/>
      <c r="U432" s="41"/>
      <c r="V432" s="41"/>
      <c r="W432" s="41"/>
      <c r="X432" s="41"/>
      <c r="Y432" s="44"/>
      <c r="Z432" s="44"/>
      <c r="AA432" s="44"/>
      <c r="AC432" s="41"/>
      <c r="AD432" s="41"/>
      <c r="AE432" s="41"/>
      <c r="AF432" s="41"/>
      <c r="AG432" s="41"/>
      <c r="AH432" s="44"/>
      <c r="AI432" s="44"/>
      <c r="AJ432" s="44"/>
    </row>
    <row r="433" spans="11:36" x14ac:dyDescent="0.2">
      <c r="K433" s="41"/>
      <c r="L433" s="41"/>
      <c r="M433" s="41"/>
      <c r="N433" s="41"/>
      <c r="O433" s="41"/>
      <c r="P433" s="44"/>
      <c r="Q433" s="44"/>
      <c r="R433" s="44"/>
      <c r="T433" s="41"/>
      <c r="U433" s="41"/>
      <c r="V433" s="41"/>
      <c r="W433" s="41"/>
      <c r="X433" s="41"/>
      <c r="Y433" s="44"/>
      <c r="Z433" s="44"/>
      <c r="AA433" s="44"/>
      <c r="AC433" s="41"/>
      <c r="AD433" s="41"/>
      <c r="AE433" s="41"/>
      <c r="AF433" s="41"/>
      <c r="AG433" s="41"/>
      <c r="AH433" s="44"/>
      <c r="AI433" s="44"/>
      <c r="AJ433" s="44"/>
    </row>
    <row r="434" spans="11:36" x14ac:dyDescent="0.2">
      <c r="K434" s="41"/>
      <c r="L434" s="41"/>
      <c r="M434" s="41"/>
      <c r="N434" s="41"/>
      <c r="O434" s="41"/>
      <c r="P434" s="44"/>
      <c r="Q434" s="44"/>
      <c r="R434" s="44"/>
      <c r="T434" s="41"/>
      <c r="U434" s="41"/>
      <c r="V434" s="41"/>
      <c r="W434" s="41"/>
      <c r="X434" s="41"/>
      <c r="Y434" s="44"/>
      <c r="Z434" s="44"/>
      <c r="AA434" s="44"/>
      <c r="AC434" s="41"/>
      <c r="AD434" s="41"/>
      <c r="AE434" s="41"/>
      <c r="AF434" s="41"/>
      <c r="AG434" s="41"/>
      <c r="AH434" s="44"/>
      <c r="AI434" s="44"/>
      <c r="AJ434" s="44"/>
    </row>
    <row r="435" spans="11:36" x14ac:dyDescent="0.2">
      <c r="K435" s="41"/>
      <c r="L435" s="41"/>
      <c r="M435" s="41"/>
      <c r="N435" s="41"/>
      <c r="O435" s="41"/>
      <c r="P435" s="44"/>
      <c r="Q435" s="44"/>
      <c r="R435" s="44"/>
      <c r="T435" s="41"/>
      <c r="U435" s="41"/>
      <c r="V435" s="41"/>
      <c r="W435" s="41"/>
      <c r="X435" s="41"/>
      <c r="Y435" s="44"/>
      <c r="Z435" s="44"/>
      <c r="AA435" s="44"/>
      <c r="AC435" s="41"/>
      <c r="AD435" s="41"/>
      <c r="AE435" s="41"/>
      <c r="AF435" s="41"/>
      <c r="AG435" s="41"/>
      <c r="AH435" s="44"/>
      <c r="AI435" s="44"/>
      <c r="AJ435" s="44"/>
    </row>
    <row r="436" spans="11:36" x14ac:dyDescent="0.2">
      <c r="K436" s="41"/>
      <c r="L436" s="41"/>
      <c r="M436" s="41"/>
      <c r="N436" s="41"/>
      <c r="O436" s="41"/>
      <c r="P436" s="44"/>
      <c r="Q436" s="44"/>
      <c r="R436" s="44"/>
      <c r="T436" s="41"/>
      <c r="U436" s="41"/>
      <c r="V436" s="41"/>
      <c r="W436" s="41"/>
      <c r="X436" s="41"/>
      <c r="Y436" s="44"/>
      <c r="Z436" s="44"/>
      <c r="AA436" s="44"/>
      <c r="AC436" s="41"/>
      <c r="AD436" s="41"/>
      <c r="AE436" s="41"/>
      <c r="AF436" s="41"/>
      <c r="AG436" s="41"/>
      <c r="AH436" s="44"/>
      <c r="AI436" s="44"/>
      <c r="AJ436" s="44"/>
    </row>
    <row r="437" spans="11:36" x14ac:dyDescent="0.2">
      <c r="K437" s="41"/>
      <c r="L437" s="41"/>
      <c r="M437" s="41"/>
      <c r="N437" s="41"/>
      <c r="O437" s="41"/>
      <c r="P437" s="44"/>
      <c r="Q437" s="44"/>
      <c r="R437" s="44"/>
      <c r="T437" s="41"/>
      <c r="U437" s="41"/>
      <c r="V437" s="41"/>
      <c r="W437" s="41"/>
      <c r="X437" s="41"/>
      <c r="Y437" s="44"/>
      <c r="Z437" s="44"/>
      <c r="AA437" s="44"/>
      <c r="AC437" s="41"/>
      <c r="AD437" s="41"/>
      <c r="AE437" s="41"/>
      <c r="AF437" s="41"/>
      <c r="AG437" s="41"/>
      <c r="AH437" s="44"/>
      <c r="AI437" s="44"/>
      <c r="AJ437" s="44"/>
    </row>
    <row r="438" spans="11:36" x14ac:dyDescent="0.2">
      <c r="K438" s="41"/>
      <c r="L438" s="41"/>
      <c r="M438" s="41"/>
      <c r="N438" s="41"/>
      <c r="O438" s="41"/>
      <c r="P438" s="44"/>
      <c r="Q438" s="44"/>
      <c r="R438" s="44"/>
      <c r="T438" s="41"/>
      <c r="U438" s="41"/>
      <c r="V438" s="41"/>
      <c r="W438" s="41"/>
      <c r="X438" s="41"/>
      <c r="Y438" s="44"/>
      <c r="Z438" s="44"/>
      <c r="AA438" s="44"/>
      <c r="AC438" s="41"/>
      <c r="AD438" s="41"/>
      <c r="AE438" s="41"/>
      <c r="AF438" s="41"/>
      <c r="AG438" s="41"/>
      <c r="AH438" s="44"/>
      <c r="AI438" s="44"/>
      <c r="AJ438" s="44"/>
    </row>
    <row r="439" spans="11:36" x14ac:dyDescent="0.2">
      <c r="K439" s="41"/>
      <c r="L439" s="41"/>
      <c r="M439" s="41"/>
      <c r="N439" s="41"/>
      <c r="O439" s="41"/>
      <c r="P439" s="44"/>
      <c r="Q439" s="44"/>
      <c r="R439" s="44"/>
      <c r="T439" s="41"/>
      <c r="U439" s="41"/>
      <c r="V439" s="41"/>
      <c r="W439" s="41"/>
      <c r="X439" s="41"/>
      <c r="Y439" s="44"/>
      <c r="Z439" s="44"/>
      <c r="AA439" s="44"/>
      <c r="AC439" s="41"/>
      <c r="AD439" s="41"/>
      <c r="AE439" s="41"/>
      <c r="AF439" s="41"/>
      <c r="AG439" s="41"/>
      <c r="AH439" s="44"/>
      <c r="AI439" s="44"/>
      <c r="AJ439" s="44"/>
    </row>
    <row r="440" spans="11:36" x14ac:dyDescent="0.2">
      <c r="K440" s="41"/>
      <c r="L440" s="41"/>
      <c r="M440" s="41"/>
      <c r="N440" s="41"/>
      <c r="O440" s="41"/>
      <c r="P440" s="44"/>
      <c r="Q440" s="44"/>
      <c r="R440" s="44"/>
      <c r="T440" s="41"/>
      <c r="U440" s="41"/>
      <c r="V440" s="41"/>
      <c r="W440" s="41"/>
      <c r="X440" s="41"/>
      <c r="Y440" s="44"/>
      <c r="Z440" s="44"/>
      <c r="AA440" s="44"/>
      <c r="AC440" s="41"/>
      <c r="AD440" s="41"/>
      <c r="AE440" s="41"/>
      <c r="AF440" s="41"/>
      <c r="AG440" s="41"/>
      <c r="AH440" s="44"/>
      <c r="AI440" s="44"/>
      <c r="AJ440" s="44"/>
    </row>
    <row r="441" spans="11:36" x14ac:dyDescent="0.2">
      <c r="K441" s="41"/>
      <c r="L441" s="41"/>
      <c r="M441" s="41"/>
      <c r="N441" s="41"/>
      <c r="O441" s="41"/>
      <c r="P441" s="44"/>
      <c r="Q441" s="44"/>
      <c r="R441" s="44"/>
      <c r="T441" s="41"/>
      <c r="U441" s="41"/>
      <c r="V441" s="41"/>
      <c r="W441" s="41"/>
      <c r="X441" s="41"/>
      <c r="Y441" s="44"/>
      <c r="Z441" s="44"/>
      <c r="AA441" s="44"/>
      <c r="AC441" s="41"/>
      <c r="AD441" s="41"/>
      <c r="AE441" s="41"/>
      <c r="AF441" s="41"/>
      <c r="AG441" s="41"/>
      <c r="AH441" s="44"/>
      <c r="AI441" s="44"/>
      <c r="AJ441" s="44"/>
    </row>
    <row r="442" spans="11:36" x14ac:dyDescent="0.2">
      <c r="K442" s="41"/>
      <c r="L442" s="41"/>
      <c r="M442" s="41"/>
      <c r="N442" s="41"/>
      <c r="O442" s="41"/>
      <c r="P442" s="44"/>
      <c r="Q442" s="44"/>
      <c r="R442" s="44"/>
      <c r="T442" s="41"/>
      <c r="U442" s="41"/>
      <c r="V442" s="41"/>
      <c r="W442" s="41"/>
      <c r="X442" s="41"/>
      <c r="Y442" s="44"/>
      <c r="Z442" s="44"/>
      <c r="AA442" s="44"/>
      <c r="AC442" s="41"/>
      <c r="AD442" s="41"/>
      <c r="AE442" s="41"/>
      <c r="AF442" s="41"/>
      <c r="AG442" s="41"/>
      <c r="AH442" s="44"/>
      <c r="AI442" s="44"/>
      <c r="AJ442" s="44"/>
    </row>
    <row r="443" spans="11:36" x14ac:dyDescent="0.2">
      <c r="K443" s="41"/>
      <c r="L443" s="41"/>
      <c r="M443" s="41"/>
      <c r="N443" s="41"/>
      <c r="O443" s="41"/>
      <c r="P443" s="44"/>
      <c r="Q443" s="44"/>
      <c r="R443" s="44"/>
      <c r="T443" s="41"/>
      <c r="U443" s="41"/>
      <c r="V443" s="41"/>
      <c r="W443" s="41"/>
      <c r="X443" s="41"/>
      <c r="Y443" s="44"/>
      <c r="Z443" s="44"/>
      <c r="AA443" s="44"/>
      <c r="AC443" s="41"/>
      <c r="AD443" s="41"/>
      <c r="AE443" s="41"/>
      <c r="AF443" s="41"/>
      <c r="AG443" s="41"/>
      <c r="AH443" s="44"/>
      <c r="AI443" s="44"/>
      <c r="AJ443" s="44"/>
    </row>
    <row r="444" spans="11:36" x14ac:dyDescent="0.2">
      <c r="K444" s="41"/>
      <c r="L444" s="41"/>
      <c r="M444" s="41"/>
      <c r="N444" s="41"/>
      <c r="O444" s="41"/>
      <c r="P444" s="44"/>
      <c r="Q444" s="44"/>
      <c r="R444" s="44"/>
      <c r="T444" s="41"/>
      <c r="U444" s="41"/>
      <c r="V444" s="41"/>
      <c r="W444" s="41"/>
      <c r="X444" s="41"/>
      <c r="Y444" s="44"/>
      <c r="Z444" s="44"/>
      <c r="AA444" s="44"/>
      <c r="AC444" s="41"/>
      <c r="AD444" s="41"/>
      <c r="AE444" s="41"/>
      <c r="AF444" s="41"/>
      <c r="AG444" s="41"/>
      <c r="AH444" s="44"/>
      <c r="AI444" s="44"/>
      <c r="AJ444" s="44"/>
    </row>
    <row r="445" spans="11:36" x14ac:dyDescent="0.2">
      <c r="K445" s="41"/>
      <c r="L445" s="41"/>
      <c r="M445" s="41"/>
      <c r="N445" s="41"/>
      <c r="O445" s="41"/>
      <c r="P445" s="44"/>
      <c r="Q445" s="44"/>
      <c r="R445" s="44"/>
      <c r="T445" s="41"/>
      <c r="U445" s="41"/>
      <c r="V445" s="41"/>
      <c r="W445" s="41"/>
      <c r="X445" s="41"/>
      <c r="Y445" s="44"/>
      <c r="Z445" s="44"/>
      <c r="AA445" s="44"/>
      <c r="AC445" s="41"/>
      <c r="AD445" s="41"/>
      <c r="AE445" s="41"/>
      <c r="AF445" s="41"/>
      <c r="AG445" s="41"/>
      <c r="AH445" s="44"/>
      <c r="AI445" s="44"/>
      <c r="AJ445" s="44"/>
    </row>
    <row r="446" spans="11:36" x14ac:dyDescent="0.2">
      <c r="K446" s="41"/>
      <c r="L446" s="41"/>
      <c r="M446" s="41"/>
      <c r="N446" s="41"/>
      <c r="O446" s="41"/>
      <c r="P446" s="44"/>
      <c r="Q446" s="44"/>
      <c r="R446" s="44"/>
      <c r="T446" s="41"/>
      <c r="U446" s="41"/>
      <c r="V446" s="41"/>
      <c r="W446" s="41"/>
      <c r="X446" s="41"/>
      <c r="Y446" s="44"/>
      <c r="Z446" s="44"/>
      <c r="AA446" s="44"/>
      <c r="AC446" s="41"/>
      <c r="AD446" s="41"/>
      <c r="AE446" s="41"/>
      <c r="AF446" s="41"/>
      <c r="AG446" s="41"/>
      <c r="AH446" s="44"/>
      <c r="AI446" s="44"/>
      <c r="AJ446" s="44"/>
    </row>
    <row r="447" spans="11:36" x14ac:dyDescent="0.2">
      <c r="K447" s="41"/>
      <c r="L447" s="41"/>
      <c r="M447" s="41"/>
      <c r="N447" s="41"/>
      <c r="O447" s="41"/>
      <c r="P447" s="44"/>
      <c r="Q447" s="44"/>
      <c r="R447" s="44"/>
      <c r="T447" s="41"/>
      <c r="U447" s="41"/>
      <c r="V447" s="41"/>
      <c r="W447" s="41"/>
      <c r="X447" s="41"/>
      <c r="Y447" s="44"/>
      <c r="Z447" s="44"/>
      <c r="AA447" s="44"/>
      <c r="AC447" s="41"/>
      <c r="AD447" s="41"/>
      <c r="AE447" s="41"/>
      <c r="AF447" s="41"/>
      <c r="AG447" s="41"/>
      <c r="AH447" s="44"/>
      <c r="AI447" s="44"/>
      <c r="AJ447" s="44"/>
    </row>
    <row r="448" spans="11:36" x14ac:dyDescent="0.2">
      <c r="K448" s="41"/>
      <c r="L448" s="41"/>
      <c r="M448" s="41"/>
      <c r="N448" s="41"/>
      <c r="O448" s="41"/>
      <c r="P448" s="44"/>
      <c r="Q448" s="44"/>
      <c r="R448" s="44"/>
      <c r="T448" s="41"/>
      <c r="U448" s="41"/>
      <c r="V448" s="41"/>
      <c r="W448" s="41"/>
      <c r="X448" s="41"/>
      <c r="Y448" s="44"/>
      <c r="Z448" s="44"/>
      <c r="AA448" s="44"/>
      <c r="AC448" s="41"/>
      <c r="AD448" s="41"/>
      <c r="AE448" s="41"/>
      <c r="AF448" s="41"/>
      <c r="AG448" s="41"/>
      <c r="AH448" s="44"/>
      <c r="AI448" s="44"/>
      <c r="AJ448" s="44"/>
    </row>
    <row r="449" spans="11:36" x14ac:dyDescent="0.2">
      <c r="K449" s="41"/>
      <c r="L449" s="41"/>
      <c r="M449" s="41"/>
      <c r="N449" s="41"/>
      <c r="O449" s="41"/>
      <c r="P449" s="44"/>
      <c r="Q449" s="44"/>
      <c r="R449" s="44"/>
      <c r="T449" s="41"/>
      <c r="U449" s="41"/>
      <c r="V449" s="41"/>
      <c r="W449" s="41"/>
      <c r="X449" s="41"/>
      <c r="Y449" s="44"/>
      <c r="Z449" s="44"/>
      <c r="AA449" s="44"/>
      <c r="AC449" s="41"/>
      <c r="AD449" s="41"/>
      <c r="AE449" s="41"/>
      <c r="AF449" s="41"/>
      <c r="AG449" s="41"/>
      <c r="AH449" s="44"/>
      <c r="AI449" s="44"/>
      <c r="AJ449" s="44"/>
    </row>
    <row r="450" spans="11:36" x14ac:dyDescent="0.2">
      <c r="K450" s="41"/>
      <c r="L450" s="41"/>
      <c r="M450" s="41"/>
      <c r="N450" s="41"/>
      <c r="O450" s="41"/>
      <c r="P450" s="44"/>
      <c r="Q450" s="44"/>
      <c r="R450" s="44"/>
      <c r="T450" s="41"/>
      <c r="U450" s="41"/>
      <c r="V450" s="41"/>
      <c r="W450" s="41"/>
      <c r="X450" s="41"/>
      <c r="Y450" s="44"/>
      <c r="Z450" s="44"/>
      <c r="AA450" s="44"/>
      <c r="AC450" s="41"/>
      <c r="AD450" s="41"/>
      <c r="AE450" s="41"/>
      <c r="AF450" s="41"/>
      <c r="AG450" s="41"/>
      <c r="AH450" s="44"/>
      <c r="AI450" s="44"/>
      <c r="AJ450" s="44"/>
    </row>
    <row r="451" spans="11:36" x14ac:dyDescent="0.2">
      <c r="K451" s="41"/>
      <c r="L451" s="41"/>
      <c r="M451" s="41"/>
      <c r="N451" s="41"/>
      <c r="O451" s="41"/>
      <c r="P451" s="44"/>
      <c r="Q451" s="44"/>
      <c r="R451" s="44"/>
      <c r="T451" s="41"/>
      <c r="U451" s="41"/>
      <c r="V451" s="41"/>
      <c r="W451" s="41"/>
      <c r="X451" s="41"/>
      <c r="Y451" s="44"/>
      <c r="Z451" s="44"/>
      <c r="AA451" s="44"/>
      <c r="AC451" s="41"/>
      <c r="AD451" s="41"/>
      <c r="AE451" s="41"/>
      <c r="AF451" s="41"/>
      <c r="AG451" s="41"/>
      <c r="AH451" s="44"/>
      <c r="AI451" s="44"/>
      <c r="AJ451" s="44"/>
    </row>
    <row r="452" spans="11:36" x14ac:dyDescent="0.2">
      <c r="K452" s="41"/>
      <c r="L452" s="41"/>
      <c r="M452" s="41"/>
      <c r="N452" s="41"/>
      <c r="O452" s="41"/>
      <c r="P452" s="44"/>
      <c r="Q452" s="44"/>
      <c r="R452" s="44"/>
      <c r="T452" s="41"/>
      <c r="U452" s="41"/>
      <c r="V452" s="41"/>
      <c r="W452" s="41"/>
      <c r="X452" s="41"/>
      <c r="Y452" s="44"/>
      <c r="Z452" s="44"/>
      <c r="AA452" s="44"/>
      <c r="AC452" s="41"/>
      <c r="AD452" s="41"/>
      <c r="AE452" s="41"/>
      <c r="AF452" s="41"/>
      <c r="AG452" s="41"/>
      <c r="AH452" s="44"/>
      <c r="AI452" s="44"/>
      <c r="AJ452" s="44"/>
    </row>
    <row r="453" spans="11:36" x14ac:dyDescent="0.2">
      <c r="K453" s="41"/>
      <c r="L453" s="41"/>
      <c r="M453" s="41"/>
      <c r="N453" s="41"/>
      <c r="O453" s="41"/>
      <c r="P453" s="44"/>
      <c r="Q453" s="44"/>
      <c r="R453" s="44"/>
      <c r="T453" s="41"/>
      <c r="U453" s="41"/>
      <c r="V453" s="41"/>
      <c r="W453" s="41"/>
      <c r="X453" s="41"/>
      <c r="Y453" s="44"/>
      <c r="Z453" s="44"/>
      <c r="AA453" s="44"/>
      <c r="AC453" s="41"/>
      <c r="AD453" s="41"/>
      <c r="AE453" s="41"/>
      <c r="AF453" s="41"/>
      <c r="AG453" s="41"/>
      <c r="AH453" s="44"/>
      <c r="AI453" s="44"/>
      <c r="AJ453" s="44"/>
    </row>
    <row r="454" spans="11:36" x14ac:dyDescent="0.2">
      <c r="K454" s="41"/>
      <c r="L454" s="41"/>
      <c r="M454" s="41"/>
      <c r="N454" s="41"/>
      <c r="O454" s="41"/>
      <c r="P454" s="44"/>
      <c r="Q454" s="44"/>
      <c r="R454" s="44"/>
      <c r="T454" s="41"/>
      <c r="U454" s="41"/>
      <c r="V454" s="41"/>
      <c r="W454" s="41"/>
      <c r="X454" s="41"/>
      <c r="Y454" s="44"/>
      <c r="Z454" s="44"/>
      <c r="AA454" s="44"/>
      <c r="AC454" s="41"/>
      <c r="AD454" s="41"/>
      <c r="AE454" s="41"/>
      <c r="AF454" s="41"/>
      <c r="AG454" s="41"/>
      <c r="AH454" s="44"/>
      <c r="AI454" s="44"/>
      <c r="AJ454" s="44"/>
    </row>
    <row r="455" spans="11:36" x14ac:dyDescent="0.2">
      <c r="K455" s="41"/>
      <c r="L455" s="41"/>
      <c r="M455" s="41"/>
      <c r="N455" s="41"/>
      <c r="O455" s="41"/>
      <c r="P455" s="44"/>
      <c r="Q455" s="44"/>
      <c r="R455" s="44"/>
      <c r="T455" s="41"/>
      <c r="U455" s="41"/>
      <c r="V455" s="41"/>
      <c r="W455" s="41"/>
      <c r="X455" s="41"/>
      <c r="Y455" s="44"/>
      <c r="Z455" s="44"/>
      <c r="AA455" s="44"/>
      <c r="AC455" s="41"/>
      <c r="AD455" s="41"/>
      <c r="AE455" s="41"/>
      <c r="AF455" s="41"/>
      <c r="AG455" s="41"/>
      <c r="AH455" s="44"/>
      <c r="AI455" s="44"/>
      <c r="AJ455" s="44"/>
    </row>
    <row r="456" spans="11:36" x14ac:dyDescent="0.2">
      <c r="K456" s="41"/>
      <c r="L456" s="41"/>
      <c r="M456" s="41"/>
      <c r="N456" s="41"/>
      <c r="O456" s="41"/>
      <c r="P456" s="44"/>
      <c r="Q456" s="44"/>
      <c r="R456" s="44"/>
      <c r="T456" s="41"/>
      <c r="U456" s="41"/>
      <c r="V456" s="41"/>
      <c r="W456" s="41"/>
      <c r="X456" s="41"/>
      <c r="Y456" s="44"/>
      <c r="Z456" s="44"/>
      <c r="AA456" s="44"/>
      <c r="AC456" s="41"/>
      <c r="AD456" s="41"/>
      <c r="AE456" s="41"/>
      <c r="AF456" s="41"/>
      <c r="AG456" s="41"/>
      <c r="AH456" s="44"/>
      <c r="AI456" s="44"/>
      <c r="AJ456" s="44"/>
    </row>
    <row r="457" spans="11:36" x14ac:dyDescent="0.2">
      <c r="K457" s="41"/>
      <c r="L457" s="41"/>
      <c r="M457" s="41"/>
      <c r="N457" s="41"/>
      <c r="O457" s="41"/>
      <c r="P457" s="44"/>
      <c r="Q457" s="44"/>
      <c r="R457" s="44"/>
      <c r="T457" s="41"/>
      <c r="U457" s="41"/>
      <c r="V457" s="41"/>
      <c r="W457" s="41"/>
      <c r="X457" s="41"/>
      <c r="Y457" s="44"/>
      <c r="Z457" s="44"/>
      <c r="AA457" s="44"/>
      <c r="AC457" s="41"/>
      <c r="AD457" s="41"/>
      <c r="AE457" s="41"/>
      <c r="AF457" s="41"/>
      <c r="AG457" s="41"/>
      <c r="AH457" s="44"/>
      <c r="AI457" s="44"/>
      <c r="AJ457" s="44"/>
    </row>
    <row r="458" spans="11:36" x14ac:dyDescent="0.2">
      <c r="K458" s="41"/>
      <c r="L458" s="41"/>
      <c r="M458" s="41"/>
      <c r="N458" s="41"/>
      <c r="O458" s="41"/>
      <c r="P458" s="44"/>
      <c r="Q458" s="44"/>
      <c r="R458" s="44"/>
      <c r="T458" s="41"/>
      <c r="U458" s="41"/>
      <c r="V458" s="41"/>
      <c r="W458" s="41"/>
      <c r="X458" s="41"/>
      <c r="Y458" s="44"/>
      <c r="Z458" s="44"/>
      <c r="AA458" s="44"/>
      <c r="AC458" s="41"/>
      <c r="AD458" s="41"/>
      <c r="AE458" s="41"/>
      <c r="AF458" s="41"/>
      <c r="AG458" s="41"/>
      <c r="AH458" s="44"/>
      <c r="AI458" s="44"/>
      <c r="AJ458" s="44"/>
    </row>
    <row r="459" spans="11:36" x14ac:dyDescent="0.2">
      <c r="K459" s="41"/>
      <c r="L459" s="41"/>
      <c r="M459" s="41"/>
      <c r="N459" s="41"/>
      <c r="O459" s="41"/>
      <c r="P459" s="44"/>
      <c r="Q459" s="44"/>
      <c r="R459" s="44"/>
      <c r="T459" s="41"/>
      <c r="U459" s="41"/>
      <c r="V459" s="41"/>
      <c r="W459" s="41"/>
      <c r="X459" s="41"/>
      <c r="Y459" s="44"/>
      <c r="Z459" s="44"/>
      <c r="AA459" s="44"/>
      <c r="AC459" s="41"/>
      <c r="AD459" s="41"/>
      <c r="AE459" s="41"/>
      <c r="AF459" s="41"/>
      <c r="AG459" s="41"/>
      <c r="AH459" s="44"/>
      <c r="AI459" s="44"/>
      <c r="AJ459" s="44"/>
    </row>
    <row r="460" spans="11:36" x14ac:dyDescent="0.2">
      <c r="K460" s="41"/>
      <c r="L460" s="41"/>
      <c r="M460" s="41"/>
      <c r="N460" s="41"/>
      <c r="O460" s="41"/>
      <c r="P460" s="44"/>
      <c r="Q460" s="44"/>
      <c r="R460" s="44"/>
      <c r="T460" s="41"/>
      <c r="U460" s="41"/>
      <c r="V460" s="41"/>
      <c r="W460" s="41"/>
      <c r="X460" s="41"/>
      <c r="Y460" s="44"/>
      <c r="Z460" s="44"/>
      <c r="AA460" s="44"/>
      <c r="AC460" s="41"/>
      <c r="AD460" s="41"/>
      <c r="AE460" s="41"/>
      <c r="AF460" s="41"/>
      <c r="AG460" s="41"/>
      <c r="AH460" s="44"/>
      <c r="AI460" s="44"/>
      <c r="AJ460" s="44"/>
    </row>
    <row r="461" spans="11:36" x14ac:dyDescent="0.2">
      <c r="K461" s="41"/>
      <c r="L461" s="41"/>
      <c r="M461" s="41"/>
      <c r="N461" s="41"/>
      <c r="O461" s="41"/>
      <c r="P461" s="44"/>
      <c r="Q461" s="44"/>
      <c r="R461" s="44"/>
      <c r="T461" s="41"/>
      <c r="U461" s="41"/>
      <c r="V461" s="41"/>
      <c r="W461" s="41"/>
      <c r="X461" s="41"/>
      <c r="Y461" s="44"/>
      <c r="Z461" s="44"/>
      <c r="AA461" s="44"/>
      <c r="AC461" s="41"/>
      <c r="AD461" s="41"/>
      <c r="AE461" s="41"/>
      <c r="AF461" s="41"/>
      <c r="AG461" s="41"/>
      <c r="AH461" s="44"/>
      <c r="AI461" s="44"/>
      <c r="AJ461" s="44"/>
    </row>
    <row r="462" spans="11:36" x14ac:dyDescent="0.2">
      <c r="K462" s="41"/>
      <c r="L462" s="41"/>
      <c r="M462" s="41"/>
      <c r="N462" s="41"/>
      <c r="O462" s="41"/>
      <c r="P462" s="44"/>
      <c r="Q462" s="44"/>
      <c r="R462" s="44"/>
      <c r="T462" s="41"/>
      <c r="U462" s="41"/>
      <c r="V462" s="41"/>
      <c r="W462" s="41"/>
      <c r="X462" s="41"/>
      <c r="Y462" s="44"/>
      <c r="Z462" s="44"/>
      <c r="AA462" s="44"/>
      <c r="AC462" s="41"/>
      <c r="AD462" s="41"/>
      <c r="AE462" s="41"/>
      <c r="AF462" s="41"/>
      <c r="AG462" s="41"/>
      <c r="AH462" s="44"/>
      <c r="AI462" s="44"/>
      <c r="AJ462" s="44"/>
    </row>
    <row r="463" spans="11:36" x14ac:dyDescent="0.2">
      <c r="K463" s="41"/>
      <c r="L463" s="41"/>
      <c r="M463" s="41"/>
      <c r="N463" s="41"/>
      <c r="O463" s="41"/>
      <c r="P463" s="44"/>
      <c r="Q463" s="44"/>
      <c r="R463" s="44"/>
      <c r="T463" s="41"/>
      <c r="U463" s="41"/>
      <c r="V463" s="41"/>
      <c r="W463" s="41"/>
      <c r="X463" s="41"/>
      <c r="Y463" s="44"/>
      <c r="Z463" s="44"/>
      <c r="AA463" s="44"/>
      <c r="AC463" s="41"/>
      <c r="AD463" s="41"/>
      <c r="AE463" s="41"/>
      <c r="AF463" s="41"/>
      <c r="AG463" s="41"/>
      <c r="AH463" s="44"/>
      <c r="AI463" s="44"/>
      <c r="AJ463" s="44"/>
    </row>
    <row r="464" spans="11:36" x14ac:dyDescent="0.2">
      <c r="K464" s="41"/>
      <c r="L464" s="41"/>
      <c r="M464" s="41"/>
      <c r="N464" s="41"/>
      <c r="O464" s="41"/>
      <c r="P464" s="44"/>
      <c r="Q464" s="44"/>
      <c r="R464" s="44"/>
      <c r="T464" s="41"/>
      <c r="U464" s="41"/>
      <c r="V464" s="41"/>
      <c r="W464" s="41"/>
      <c r="X464" s="41"/>
      <c r="Y464" s="44"/>
      <c r="Z464" s="44"/>
      <c r="AA464" s="44"/>
      <c r="AC464" s="41"/>
      <c r="AD464" s="41"/>
      <c r="AE464" s="41"/>
      <c r="AF464" s="41"/>
      <c r="AG464" s="41"/>
      <c r="AH464" s="44"/>
      <c r="AI464" s="44"/>
      <c r="AJ464" s="44"/>
    </row>
    <row r="465" spans="11:36" x14ac:dyDescent="0.2">
      <c r="K465" s="41"/>
      <c r="L465" s="41"/>
      <c r="M465" s="41"/>
      <c r="N465" s="41"/>
      <c r="O465" s="41"/>
      <c r="P465" s="44"/>
      <c r="Q465" s="44"/>
      <c r="R465" s="44"/>
      <c r="T465" s="41"/>
      <c r="U465" s="41"/>
      <c r="V465" s="41"/>
      <c r="W465" s="41"/>
      <c r="X465" s="41"/>
      <c r="Y465" s="44"/>
      <c r="Z465" s="44"/>
      <c r="AA465" s="44"/>
      <c r="AC465" s="41"/>
      <c r="AD465" s="41"/>
      <c r="AE465" s="41"/>
      <c r="AF465" s="41"/>
      <c r="AG465" s="41"/>
      <c r="AH465" s="44"/>
      <c r="AI465" s="44"/>
      <c r="AJ465" s="44"/>
    </row>
    <row r="466" spans="11:36" x14ac:dyDescent="0.2">
      <c r="K466" s="41"/>
      <c r="L466" s="41"/>
      <c r="M466" s="41"/>
      <c r="N466" s="41"/>
      <c r="O466" s="41"/>
      <c r="P466" s="44"/>
      <c r="Q466" s="44"/>
      <c r="R466" s="44"/>
      <c r="T466" s="41"/>
      <c r="U466" s="41"/>
      <c r="V466" s="41"/>
      <c r="W466" s="41"/>
      <c r="X466" s="41"/>
      <c r="Y466" s="44"/>
      <c r="Z466" s="44"/>
      <c r="AA466" s="44"/>
      <c r="AC466" s="41"/>
      <c r="AD466" s="41"/>
      <c r="AE466" s="41"/>
      <c r="AF466" s="41"/>
      <c r="AG466" s="41"/>
      <c r="AH466" s="44"/>
      <c r="AI466" s="44"/>
      <c r="AJ466" s="44"/>
    </row>
    <row r="467" spans="11:36" x14ac:dyDescent="0.2">
      <c r="K467" s="41"/>
      <c r="L467" s="41"/>
      <c r="M467" s="41"/>
      <c r="N467" s="41"/>
      <c r="O467" s="41"/>
      <c r="P467" s="44"/>
      <c r="Q467" s="44"/>
      <c r="R467" s="44"/>
      <c r="T467" s="41"/>
      <c r="U467" s="41"/>
      <c r="V467" s="41"/>
      <c r="W467" s="41"/>
      <c r="X467" s="41"/>
      <c r="Y467" s="44"/>
      <c r="Z467" s="44"/>
      <c r="AA467" s="44"/>
      <c r="AC467" s="41"/>
      <c r="AD467" s="41"/>
      <c r="AE467" s="41"/>
      <c r="AF467" s="41"/>
      <c r="AG467" s="41"/>
      <c r="AH467" s="44"/>
      <c r="AI467" s="44"/>
      <c r="AJ467" s="44"/>
    </row>
    <row r="468" spans="11:36" x14ac:dyDescent="0.2">
      <c r="K468" s="41"/>
      <c r="L468" s="41"/>
      <c r="M468" s="41"/>
      <c r="N468" s="41"/>
      <c r="O468" s="41"/>
      <c r="P468" s="44"/>
      <c r="Q468" s="44"/>
      <c r="R468" s="44"/>
      <c r="T468" s="41"/>
      <c r="U468" s="41"/>
      <c r="V468" s="41"/>
      <c r="W468" s="41"/>
      <c r="X468" s="41"/>
      <c r="Y468" s="44"/>
      <c r="Z468" s="44"/>
      <c r="AA468" s="44"/>
      <c r="AC468" s="41"/>
      <c r="AD468" s="41"/>
      <c r="AE468" s="41"/>
      <c r="AF468" s="41"/>
      <c r="AG468" s="41"/>
      <c r="AH468" s="44"/>
      <c r="AI468" s="44"/>
      <c r="AJ468" s="44"/>
    </row>
    <row r="469" spans="11:36" x14ac:dyDescent="0.2">
      <c r="K469" s="41"/>
      <c r="L469" s="41"/>
      <c r="M469" s="41"/>
      <c r="N469" s="41"/>
      <c r="O469" s="41"/>
      <c r="P469" s="44"/>
      <c r="Q469" s="44"/>
      <c r="R469" s="44"/>
      <c r="T469" s="41"/>
      <c r="U469" s="41"/>
      <c r="V469" s="41"/>
      <c r="W469" s="41"/>
      <c r="X469" s="41"/>
      <c r="Y469" s="44"/>
      <c r="Z469" s="44"/>
      <c r="AA469" s="44"/>
      <c r="AC469" s="41"/>
      <c r="AD469" s="41"/>
      <c r="AE469" s="41"/>
      <c r="AF469" s="41"/>
      <c r="AG469" s="41"/>
      <c r="AH469" s="44"/>
      <c r="AI469" s="44"/>
      <c r="AJ469" s="44"/>
    </row>
    <row r="470" spans="11:36" x14ac:dyDescent="0.2">
      <c r="K470" s="41"/>
      <c r="L470" s="41"/>
      <c r="M470" s="41"/>
      <c r="N470" s="41"/>
      <c r="O470" s="41"/>
      <c r="P470" s="44"/>
      <c r="Q470" s="44"/>
      <c r="R470" s="44"/>
      <c r="T470" s="41"/>
      <c r="U470" s="41"/>
      <c r="V470" s="41"/>
      <c r="W470" s="41"/>
      <c r="X470" s="41"/>
      <c r="Y470" s="44"/>
      <c r="Z470" s="44"/>
      <c r="AA470" s="44"/>
      <c r="AC470" s="41"/>
      <c r="AD470" s="41"/>
      <c r="AE470" s="41"/>
      <c r="AF470" s="41"/>
      <c r="AG470" s="41"/>
      <c r="AH470" s="44"/>
      <c r="AI470" s="44"/>
      <c r="AJ470" s="44"/>
    </row>
    <row r="471" spans="11:36" x14ac:dyDescent="0.2">
      <c r="K471" s="41"/>
      <c r="L471" s="41"/>
      <c r="M471" s="41"/>
      <c r="N471" s="41"/>
      <c r="O471" s="41"/>
      <c r="P471" s="44"/>
      <c r="Q471" s="44"/>
      <c r="R471" s="44"/>
      <c r="T471" s="41"/>
      <c r="U471" s="41"/>
      <c r="V471" s="41"/>
      <c r="W471" s="41"/>
      <c r="X471" s="41"/>
      <c r="Y471" s="44"/>
      <c r="Z471" s="44"/>
      <c r="AA471" s="44"/>
      <c r="AC471" s="41"/>
      <c r="AD471" s="41"/>
      <c r="AE471" s="41"/>
      <c r="AF471" s="41"/>
      <c r="AG471" s="41"/>
      <c r="AH471" s="44"/>
      <c r="AI471" s="44"/>
      <c r="AJ471" s="44"/>
    </row>
    <row r="472" spans="11:36" x14ac:dyDescent="0.2">
      <c r="K472" s="41"/>
      <c r="L472" s="41"/>
      <c r="M472" s="41"/>
      <c r="N472" s="41"/>
      <c r="O472" s="41"/>
      <c r="P472" s="44"/>
      <c r="Q472" s="44"/>
      <c r="R472" s="44"/>
      <c r="T472" s="41"/>
      <c r="U472" s="41"/>
      <c r="V472" s="41"/>
      <c r="W472" s="41"/>
      <c r="X472" s="41"/>
      <c r="Y472" s="44"/>
      <c r="Z472" s="44"/>
      <c r="AA472" s="44"/>
      <c r="AC472" s="41"/>
      <c r="AD472" s="41"/>
      <c r="AE472" s="41"/>
      <c r="AF472" s="41"/>
      <c r="AG472" s="41"/>
      <c r="AH472" s="44"/>
      <c r="AI472" s="44"/>
      <c r="AJ472" s="44"/>
    </row>
    <row r="473" spans="11:36" x14ac:dyDescent="0.2">
      <c r="K473" s="41"/>
      <c r="L473" s="41"/>
      <c r="M473" s="41"/>
      <c r="N473" s="41"/>
      <c r="O473" s="41"/>
      <c r="P473" s="44"/>
      <c r="Q473" s="44"/>
      <c r="R473" s="44"/>
      <c r="T473" s="41"/>
      <c r="U473" s="41"/>
      <c r="V473" s="41"/>
      <c r="W473" s="41"/>
      <c r="X473" s="41"/>
      <c r="Y473" s="44"/>
      <c r="Z473" s="44"/>
      <c r="AA473" s="44"/>
      <c r="AC473" s="41"/>
      <c r="AD473" s="41"/>
      <c r="AE473" s="41"/>
      <c r="AF473" s="41"/>
      <c r="AG473" s="41"/>
      <c r="AH473" s="44"/>
      <c r="AI473" s="44"/>
      <c r="AJ473" s="44"/>
    </row>
    <row r="474" spans="11:36" x14ac:dyDescent="0.2">
      <c r="K474" s="41"/>
      <c r="L474" s="41"/>
      <c r="M474" s="41"/>
      <c r="N474" s="41"/>
      <c r="O474" s="41"/>
      <c r="P474" s="44"/>
      <c r="Q474" s="44"/>
      <c r="R474" s="44"/>
      <c r="T474" s="41"/>
      <c r="U474" s="41"/>
      <c r="V474" s="41"/>
      <c r="W474" s="41"/>
      <c r="X474" s="41"/>
      <c r="Y474" s="44"/>
      <c r="Z474" s="44"/>
      <c r="AA474" s="44"/>
      <c r="AC474" s="41"/>
      <c r="AD474" s="41"/>
      <c r="AE474" s="41"/>
      <c r="AF474" s="41"/>
      <c r="AG474" s="41"/>
      <c r="AH474" s="44"/>
      <c r="AI474" s="44"/>
      <c r="AJ474" s="44"/>
    </row>
    <row r="475" spans="11:36" x14ac:dyDescent="0.2">
      <c r="K475" s="41"/>
      <c r="L475" s="41"/>
      <c r="M475" s="41"/>
      <c r="N475" s="41"/>
      <c r="O475" s="41"/>
      <c r="P475" s="44"/>
      <c r="Q475" s="44"/>
      <c r="R475" s="44"/>
      <c r="T475" s="41"/>
      <c r="U475" s="41"/>
      <c r="V475" s="41"/>
      <c r="W475" s="41"/>
      <c r="X475" s="41"/>
      <c r="Y475" s="44"/>
      <c r="Z475" s="44"/>
      <c r="AA475" s="44"/>
      <c r="AC475" s="41"/>
      <c r="AD475" s="41"/>
      <c r="AE475" s="41"/>
      <c r="AF475" s="41"/>
      <c r="AG475" s="41"/>
      <c r="AH475" s="44"/>
      <c r="AI475" s="44"/>
      <c r="AJ475" s="44"/>
    </row>
    <row r="476" spans="11:36" x14ac:dyDescent="0.2">
      <c r="K476" s="41"/>
      <c r="L476" s="41"/>
      <c r="M476" s="41"/>
      <c r="N476" s="41"/>
      <c r="O476" s="41"/>
      <c r="P476" s="44"/>
      <c r="Q476" s="44"/>
      <c r="R476" s="44"/>
      <c r="T476" s="41"/>
      <c r="U476" s="41"/>
      <c r="V476" s="41"/>
      <c r="W476" s="41"/>
      <c r="X476" s="41"/>
      <c r="Y476" s="44"/>
      <c r="Z476" s="44"/>
      <c r="AA476" s="44"/>
      <c r="AC476" s="41"/>
      <c r="AD476" s="41"/>
      <c r="AE476" s="41"/>
      <c r="AF476" s="41"/>
      <c r="AG476" s="41"/>
      <c r="AH476" s="44"/>
      <c r="AI476" s="44"/>
      <c r="AJ476" s="44"/>
    </row>
    <row r="477" spans="11:36" x14ac:dyDescent="0.2">
      <c r="K477" s="41"/>
      <c r="L477" s="41"/>
      <c r="M477" s="41"/>
      <c r="N477" s="41"/>
      <c r="O477" s="41"/>
      <c r="P477" s="44"/>
      <c r="Q477" s="44"/>
      <c r="R477" s="44"/>
      <c r="T477" s="41"/>
      <c r="U477" s="41"/>
      <c r="V477" s="41"/>
      <c r="W477" s="41"/>
      <c r="X477" s="41"/>
      <c r="Y477" s="44"/>
      <c r="Z477" s="44"/>
      <c r="AA477" s="44"/>
      <c r="AC477" s="41"/>
      <c r="AD477" s="41"/>
      <c r="AE477" s="41"/>
      <c r="AF477" s="41"/>
      <c r="AG477" s="41"/>
      <c r="AH477" s="44"/>
      <c r="AI477" s="44"/>
      <c r="AJ477" s="44"/>
    </row>
    <row r="478" spans="11:36" x14ac:dyDescent="0.2">
      <c r="K478" s="41"/>
      <c r="L478" s="41"/>
      <c r="M478" s="41"/>
      <c r="N478" s="41"/>
      <c r="O478" s="41"/>
      <c r="P478" s="44"/>
      <c r="Q478" s="44"/>
      <c r="R478" s="44"/>
      <c r="T478" s="41"/>
      <c r="U478" s="41"/>
      <c r="V478" s="41"/>
      <c r="W478" s="41"/>
      <c r="X478" s="41"/>
      <c r="Y478" s="44"/>
      <c r="Z478" s="44"/>
      <c r="AA478" s="44"/>
      <c r="AC478" s="41"/>
      <c r="AD478" s="41"/>
      <c r="AE478" s="41"/>
      <c r="AF478" s="41"/>
      <c r="AG478" s="41"/>
      <c r="AH478" s="44"/>
      <c r="AI478" s="44"/>
      <c r="AJ478" s="44"/>
    </row>
    <row r="479" spans="11:36" x14ac:dyDescent="0.2">
      <c r="K479" s="41"/>
      <c r="L479" s="41"/>
      <c r="M479" s="41"/>
      <c r="N479" s="41"/>
      <c r="O479" s="41"/>
      <c r="P479" s="44"/>
      <c r="Q479" s="44"/>
      <c r="R479" s="44"/>
      <c r="T479" s="41"/>
      <c r="U479" s="41"/>
      <c r="V479" s="41"/>
      <c r="W479" s="41"/>
      <c r="X479" s="41"/>
      <c r="Y479" s="44"/>
      <c r="Z479" s="44"/>
      <c r="AA479" s="44"/>
      <c r="AC479" s="41"/>
      <c r="AD479" s="41"/>
      <c r="AE479" s="41"/>
      <c r="AF479" s="41"/>
      <c r="AG479" s="41"/>
      <c r="AH479" s="44"/>
      <c r="AI479" s="44"/>
      <c r="AJ479" s="44"/>
    </row>
    <row r="480" spans="11:36" x14ac:dyDescent="0.2">
      <c r="K480" s="41"/>
      <c r="L480" s="41"/>
      <c r="M480" s="41"/>
      <c r="N480" s="41"/>
      <c r="O480" s="41"/>
      <c r="P480" s="44"/>
      <c r="Q480" s="44"/>
      <c r="R480" s="44"/>
      <c r="T480" s="41"/>
      <c r="U480" s="41"/>
      <c r="V480" s="41"/>
      <c r="W480" s="41"/>
      <c r="X480" s="41"/>
      <c r="Y480" s="44"/>
      <c r="Z480" s="44"/>
      <c r="AA480" s="44"/>
      <c r="AC480" s="41"/>
      <c r="AD480" s="41"/>
      <c r="AE480" s="41"/>
      <c r="AF480" s="41"/>
      <c r="AG480" s="41"/>
      <c r="AH480" s="44"/>
      <c r="AI480" s="44"/>
      <c r="AJ480" s="44"/>
    </row>
    <row r="481" spans="11:36" x14ac:dyDescent="0.2">
      <c r="K481" s="41"/>
      <c r="L481" s="41"/>
      <c r="M481" s="41"/>
      <c r="N481" s="41"/>
      <c r="O481" s="41"/>
      <c r="P481" s="44"/>
      <c r="Q481" s="44"/>
      <c r="R481" s="44"/>
      <c r="T481" s="41"/>
      <c r="U481" s="41"/>
      <c r="V481" s="41"/>
      <c r="W481" s="41"/>
      <c r="X481" s="41"/>
      <c r="Y481" s="44"/>
      <c r="Z481" s="44"/>
      <c r="AA481" s="44"/>
      <c r="AC481" s="41"/>
      <c r="AD481" s="41"/>
      <c r="AE481" s="41"/>
      <c r="AF481" s="41"/>
      <c r="AG481" s="41"/>
      <c r="AH481" s="44"/>
      <c r="AI481" s="44"/>
      <c r="AJ481" s="44"/>
    </row>
    <row r="482" spans="11:36" x14ac:dyDescent="0.2">
      <c r="K482" s="41"/>
      <c r="L482" s="41"/>
      <c r="M482" s="41"/>
      <c r="N482" s="41"/>
      <c r="O482" s="41"/>
      <c r="P482" s="44"/>
      <c r="Q482" s="44"/>
      <c r="R482" s="44"/>
      <c r="T482" s="41"/>
      <c r="U482" s="41"/>
      <c r="V482" s="41"/>
      <c r="W482" s="41"/>
      <c r="X482" s="41"/>
      <c r="Y482" s="44"/>
      <c r="Z482" s="44"/>
      <c r="AA482" s="44"/>
      <c r="AC482" s="41"/>
      <c r="AD482" s="41"/>
      <c r="AE482" s="41"/>
      <c r="AF482" s="41"/>
      <c r="AG482" s="41"/>
      <c r="AH482" s="44"/>
      <c r="AI482" s="44"/>
      <c r="AJ482" s="44"/>
    </row>
    <row r="483" spans="11:36" x14ac:dyDescent="0.2">
      <c r="K483" s="41"/>
      <c r="L483" s="41"/>
      <c r="M483" s="41"/>
      <c r="N483" s="41"/>
      <c r="O483" s="41"/>
      <c r="P483" s="44"/>
      <c r="Q483" s="44"/>
      <c r="R483" s="44"/>
      <c r="T483" s="41"/>
      <c r="U483" s="41"/>
      <c r="V483" s="41"/>
      <c r="W483" s="41"/>
      <c r="X483" s="41"/>
      <c r="Y483" s="44"/>
      <c r="Z483" s="44"/>
      <c r="AA483" s="44"/>
      <c r="AC483" s="41"/>
      <c r="AD483" s="41"/>
      <c r="AE483" s="41"/>
      <c r="AF483" s="41"/>
      <c r="AG483" s="41"/>
      <c r="AH483" s="44"/>
      <c r="AI483" s="44"/>
      <c r="AJ483" s="44"/>
    </row>
    <row r="484" spans="11:36" x14ac:dyDescent="0.2">
      <c r="K484" s="41"/>
      <c r="L484" s="41"/>
      <c r="M484" s="41"/>
      <c r="N484" s="41"/>
      <c r="O484" s="41"/>
      <c r="P484" s="44"/>
      <c r="Q484" s="44"/>
      <c r="R484" s="44"/>
      <c r="T484" s="41"/>
      <c r="U484" s="41"/>
      <c r="V484" s="41"/>
      <c r="W484" s="41"/>
      <c r="X484" s="41"/>
      <c r="Y484" s="44"/>
      <c r="Z484" s="44"/>
      <c r="AA484" s="44"/>
      <c r="AC484" s="41"/>
      <c r="AD484" s="41"/>
      <c r="AE484" s="41"/>
      <c r="AF484" s="41"/>
      <c r="AG484" s="41"/>
      <c r="AH484" s="44"/>
      <c r="AI484" s="44"/>
      <c r="AJ484" s="44"/>
    </row>
    <row r="485" spans="11:36" x14ac:dyDescent="0.2">
      <c r="K485" s="41"/>
      <c r="L485" s="41"/>
      <c r="M485" s="41"/>
      <c r="N485" s="41"/>
      <c r="O485" s="41"/>
      <c r="P485" s="44"/>
      <c r="Q485" s="44"/>
      <c r="R485" s="44"/>
      <c r="T485" s="41"/>
      <c r="U485" s="41"/>
      <c r="V485" s="41"/>
      <c r="W485" s="41"/>
      <c r="X485" s="41"/>
      <c r="Y485" s="44"/>
      <c r="Z485" s="44"/>
      <c r="AA485" s="44"/>
      <c r="AC485" s="41"/>
      <c r="AD485" s="41"/>
      <c r="AE485" s="41"/>
      <c r="AF485" s="41"/>
      <c r="AG485" s="41"/>
      <c r="AH485" s="44"/>
      <c r="AI485" s="44"/>
      <c r="AJ485" s="44"/>
    </row>
    <row r="486" spans="11:36" x14ac:dyDescent="0.2">
      <c r="K486" s="41"/>
      <c r="L486" s="41"/>
      <c r="M486" s="41"/>
      <c r="N486" s="41"/>
      <c r="O486" s="41"/>
      <c r="P486" s="44"/>
      <c r="Q486" s="44"/>
      <c r="R486" s="44"/>
      <c r="T486" s="41"/>
      <c r="U486" s="41"/>
      <c r="V486" s="41"/>
      <c r="W486" s="41"/>
      <c r="X486" s="41"/>
      <c r="Y486" s="44"/>
      <c r="Z486" s="44"/>
      <c r="AA486" s="44"/>
      <c r="AC486" s="41"/>
      <c r="AD486" s="41"/>
      <c r="AE486" s="41"/>
      <c r="AF486" s="41"/>
      <c r="AG486" s="41"/>
      <c r="AH486" s="44"/>
      <c r="AI486" s="44"/>
      <c r="AJ486" s="44"/>
    </row>
    <row r="487" spans="11:36" x14ac:dyDescent="0.2">
      <c r="K487" s="41"/>
      <c r="L487" s="41"/>
      <c r="M487" s="41"/>
      <c r="N487" s="41"/>
      <c r="O487" s="41"/>
      <c r="P487" s="44"/>
      <c r="Q487" s="44"/>
      <c r="R487" s="44"/>
      <c r="T487" s="41"/>
      <c r="U487" s="41"/>
      <c r="V487" s="41"/>
      <c r="W487" s="41"/>
      <c r="X487" s="41"/>
      <c r="Y487" s="44"/>
      <c r="Z487" s="44"/>
      <c r="AA487" s="44"/>
      <c r="AC487" s="41"/>
      <c r="AD487" s="41"/>
      <c r="AE487" s="41"/>
      <c r="AF487" s="41"/>
      <c r="AG487" s="41"/>
      <c r="AH487" s="44"/>
      <c r="AI487" s="44"/>
      <c r="AJ487" s="44"/>
    </row>
    <row r="488" spans="11:36" x14ac:dyDescent="0.2">
      <c r="K488" s="41"/>
      <c r="L488" s="41"/>
      <c r="M488" s="41"/>
      <c r="N488" s="41"/>
      <c r="O488" s="41"/>
      <c r="P488" s="44"/>
      <c r="Q488" s="44"/>
      <c r="R488" s="44"/>
      <c r="T488" s="41"/>
      <c r="U488" s="41"/>
      <c r="V488" s="41"/>
      <c r="W488" s="41"/>
      <c r="X488" s="41"/>
      <c r="Y488" s="44"/>
      <c r="Z488" s="44"/>
      <c r="AA488" s="44"/>
      <c r="AC488" s="41"/>
      <c r="AD488" s="41"/>
      <c r="AE488" s="41"/>
      <c r="AF488" s="41"/>
      <c r="AG488" s="41"/>
      <c r="AH488" s="44"/>
      <c r="AI488" s="44"/>
      <c r="AJ488" s="44"/>
    </row>
    <row r="489" spans="11:36" x14ac:dyDescent="0.2">
      <c r="K489" s="41"/>
      <c r="L489" s="41"/>
      <c r="M489" s="41"/>
      <c r="N489" s="41"/>
      <c r="O489" s="41"/>
      <c r="P489" s="44"/>
      <c r="Q489" s="44"/>
      <c r="R489" s="44"/>
      <c r="T489" s="41"/>
      <c r="U489" s="41"/>
      <c r="V489" s="41"/>
      <c r="W489" s="41"/>
      <c r="X489" s="41"/>
      <c r="Y489" s="44"/>
      <c r="Z489" s="44"/>
      <c r="AA489" s="44"/>
      <c r="AC489" s="41"/>
      <c r="AD489" s="41"/>
      <c r="AE489" s="41"/>
      <c r="AF489" s="41"/>
      <c r="AG489" s="41"/>
      <c r="AH489" s="44"/>
      <c r="AI489" s="44"/>
      <c r="AJ489" s="44"/>
    </row>
    <row r="490" spans="11:36" x14ac:dyDescent="0.2">
      <c r="K490" s="41"/>
      <c r="L490" s="41"/>
      <c r="M490" s="41"/>
      <c r="N490" s="41"/>
      <c r="O490" s="41"/>
      <c r="P490" s="44"/>
      <c r="Q490" s="44"/>
      <c r="R490" s="44"/>
      <c r="T490" s="41"/>
      <c r="U490" s="41"/>
      <c r="V490" s="41"/>
      <c r="W490" s="41"/>
      <c r="X490" s="41"/>
      <c r="Y490" s="44"/>
      <c r="Z490" s="44"/>
      <c r="AA490" s="44"/>
      <c r="AC490" s="41"/>
      <c r="AD490" s="41"/>
      <c r="AE490" s="41"/>
      <c r="AF490" s="41"/>
      <c r="AG490" s="41"/>
      <c r="AH490" s="44"/>
      <c r="AI490" s="44"/>
      <c r="AJ490" s="44"/>
    </row>
    <row r="491" spans="11:36" x14ac:dyDescent="0.2">
      <c r="K491" s="41"/>
      <c r="L491" s="41"/>
      <c r="M491" s="41"/>
      <c r="N491" s="41"/>
      <c r="O491" s="41"/>
      <c r="P491" s="44"/>
      <c r="Q491" s="44"/>
      <c r="R491" s="44"/>
      <c r="T491" s="41"/>
      <c r="U491" s="41"/>
      <c r="V491" s="41"/>
      <c r="W491" s="41"/>
      <c r="X491" s="41"/>
      <c r="Y491" s="44"/>
      <c r="Z491" s="44"/>
      <c r="AA491" s="44"/>
      <c r="AC491" s="41"/>
      <c r="AD491" s="41"/>
      <c r="AE491" s="41"/>
      <c r="AF491" s="41"/>
      <c r="AG491" s="41"/>
      <c r="AH491" s="44"/>
      <c r="AI491" s="44"/>
      <c r="AJ491" s="44"/>
    </row>
    <row r="492" spans="11:36" x14ac:dyDescent="0.2">
      <c r="K492" s="41"/>
      <c r="L492" s="41"/>
      <c r="M492" s="41"/>
      <c r="N492" s="41"/>
      <c r="O492" s="41"/>
      <c r="P492" s="44"/>
      <c r="Q492" s="44"/>
      <c r="R492" s="44"/>
      <c r="T492" s="41"/>
      <c r="U492" s="41"/>
      <c r="V492" s="41"/>
      <c r="W492" s="41"/>
      <c r="X492" s="41"/>
      <c r="Y492" s="44"/>
      <c r="Z492" s="44"/>
      <c r="AA492" s="44"/>
      <c r="AC492" s="41"/>
      <c r="AD492" s="41"/>
      <c r="AE492" s="41"/>
      <c r="AF492" s="41"/>
      <c r="AG492" s="41"/>
      <c r="AH492" s="44"/>
      <c r="AI492" s="44"/>
      <c r="AJ492" s="44"/>
    </row>
    <row r="493" spans="11:36" x14ac:dyDescent="0.2">
      <c r="K493" s="41"/>
      <c r="L493" s="41"/>
      <c r="M493" s="41"/>
      <c r="N493" s="41"/>
      <c r="O493" s="41"/>
      <c r="P493" s="44"/>
      <c r="Q493" s="44"/>
      <c r="R493" s="44"/>
      <c r="T493" s="41"/>
      <c r="U493" s="41"/>
      <c r="V493" s="41"/>
      <c r="W493" s="41"/>
      <c r="X493" s="41"/>
      <c r="Y493" s="44"/>
      <c r="Z493" s="44"/>
      <c r="AA493" s="44"/>
      <c r="AC493" s="41"/>
      <c r="AD493" s="41"/>
      <c r="AE493" s="41"/>
      <c r="AF493" s="41"/>
      <c r="AG493" s="41"/>
      <c r="AH493" s="44"/>
      <c r="AI493" s="44"/>
      <c r="AJ493" s="44"/>
    </row>
    <row r="494" spans="11:36" x14ac:dyDescent="0.2">
      <c r="K494" s="41"/>
      <c r="L494" s="41"/>
      <c r="M494" s="41"/>
      <c r="N494" s="41"/>
      <c r="O494" s="41"/>
      <c r="P494" s="44"/>
      <c r="Q494" s="44"/>
      <c r="R494" s="44"/>
      <c r="T494" s="41"/>
      <c r="U494" s="41"/>
      <c r="V494" s="41"/>
      <c r="W494" s="41"/>
      <c r="X494" s="41"/>
      <c r="Y494" s="44"/>
      <c r="Z494" s="44"/>
      <c r="AA494" s="44"/>
      <c r="AC494" s="41"/>
      <c r="AD494" s="41"/>
      <c r="AE494" s="41"/>
      <c r="AF494" s="41"/>
      <c r="AG494" s="41"/>
      <c r="AH494" s="44"/>
      <c r="AI494" s="44"/>
      <c r="AJ494" s="44"/>
    </row>
    <row r="495" spans="11:36" x14ac:dyDescent="0.2">
      <c r="K495" s="41"/>
      <c r="L495" s="41"/>
      <c r="M495" s="41"/>
      <c r="N495" s="41"/>
      <c r="O495" s="41"/>
      <c r="P495" s="44"/>
      <c r="Q495" s="44"/>
      <c r="R495" s="44"/>
      <c r="T495" s="41"/>
      <c r="U495" s="41"/>
      <c r="V495" s="41"/>
      <c r="W495" s="41"/>
      <c r="X495" s="41"/>
      <c r="Y495" s="44"/>
      <c r="Z495" s="44"/>
      <c r="AA495" s="44"/>
      <c r="AC495" s="41"/>
      <c r="AD495" s="41"/>
      <c r="AE495" s="41"/>
      <c r="AF495" s="41"/>
      <c r="AG495" s="41"/>
      <c r="AH495" s="44"/>
      <c r="AI495" s="44"/>
      <c r="AJ495" s="44"/>
    </row>
    <row r="496" spans="11:36" x14ac:dyDescent="0.2">
      <c r="K496" s="41"/>
      <c r="L496" s="41"/>
      <c r="M496" s="41"/>
      <c r="N496" s="41"/>
      <c r="O496" s="41"/>
      <c r="P496" s="44"/>
      <c r="Q496" s="44"/>
      <c r="R496" s="44"/>
      <c r="T496" s="41"/>
      <c r="U496" s="41"/>
      <c r="V496" s="41"/>
      <c r="W496" s="41"/>
      <c r="X496" s="41"/>
      <c r="Y496" s="44"/>
      <c r="Z496" s="44"/>
      <c r="AA496" s="44"/>
      <c r="AC496" s="41"/>
      <c r="AD496" s="41"/>
      <c r="AE496" s="41"/>
      <c r="AF496" s="41"/>
      <c r="AG496" s="41"/>
      <c r="AH496" s="44"/>
      <c r="AI496" s="44"/>
      <c r="AJ496" s="44"/>
    </row>
    <row r="497" spans="11:36" x14ac:dyDescent="0.2">
      <c r="K497" s="41"/>
      <c r="L497" s="41"/>
      <c r="M497" s="41"/>
      <c r="N497" s="41"/>
      <c r="O497" s="41"/>
      <c r="P497" s="44"/>
      <c r="Q497" s="44"/>
      <c r="R497" s="44"/>
      <c r="T497" s="41"/>
      <c r="U497" s="41"/>
      <c r="V497" s="41"/>
      <c r="W497" s="41"/>
      <c r="X497" s="41"/>
      <c r="Y497" s="44"/>
      <c r="Z497" s="44"/>
      <c r="AA497" s="44"/>
      <c r="AC497" s="41"/>
      <c r="AD497" s="41"/>
      <c r="AE497" s="41"/>
      <c r="AF497" s="41"/>
      <c r="AG497" s="41"/>
      <c r="AH497" s="44"/>
      <c r="AI497" s="44"/>
      <c r="AJ497" s="44"/>
    </row>
    <row r="498" spans="11:36" x14ac:dyDescent="0.2">
      <c r="K498" s="41"/>
      <c r="L498" s="41"/>
      <c r="M498" s="41"/>
      <c r="N498" s="41"/>
      <c r="O498" s="41"/>
      <c r="P498" s="44"/>
      <c r="Q498" s="44"/>
      <c r="R498" s="44"/>
      <c r="T498" s="41"/>
      <c r="U498" s="41"/>
      <c r="V498" s="41"/>
      <c r="W498" s="41"/>
      <c r="X498" s="41"/>
      <c r="Y498" s="44"/>
      <c r="Z498" s="44"/>
      <c r="AA498" s="44"/>
      <c r="AC498" s="41"/>
      <c r="AD498" s="41"/>
      <c r="AE498" s="41"/>
      <c r="AF498" s="41"/>
      <c r="AG498" s="41"/>
      <c r="AH498" s="44"/>
      <c r="AI498" s="44"/>
      <c r="AJ498" s="44"/>
    </row>
    <row r="499" spans="11:36" x14ac:dyDescent="0.2">
      <c r="K499" s="41"/>
      <c r="L499" s="41"/>
      <c r="M499" s="41"/>
      <c r="N499" s="41"/>
      <c r="O499" s="41"/>
      <c r="P499" s="44"/>
      <c r="Q499" s="44"/>
      <c r="R499" s="44"/>
      <c r="T499" s="41"/>
      <c r="U499" s="41"/>
      <c r="V499" s="41"/>
      <c r="W499" s="41"/>
      <c r="X499" s="41"/>
      <c r="Y499" s="44"/>
      <c r="Z499" s="44"/>
      <c r="AA499" s="44"/>
      <c r="AC499" s="41"/>
      <c r="AD499" s="41"/>
      <c r="AE499" s="41"/>
      <c r="AF499" s="41"/>
      <c r="AG499" s="41"/>
      <c r="AH499" s="44"/>
      <c r="AI499" s="44"/>
      <c r="AJ499" s="44"/>
    </row>
    <row r="500" spans="11:36" x14ac:dyDescent="0.2">
      <c r="K500" s="41"/>
      <c r="L500" s="41"/>
      <c r="M500" s="41"/>
      <c r="N500" s="41"/>
      <c r="O500" s="41"/>
      <c r="P500" s="44"/>
      <c r="Q500" s="44"/>
      <c r="R500" s="44"/>
      <c r="T500" s="41"/>
      <c r="U500" s="41"/>
      <c r="V500" s="41"/>
      <c r="W500" s="41"/>
      <c r="X500" s="41"/>
      <c r="Y500" s="44"/>
      <c r="Z500" s="44"/>
      <c r="AA500" s="44"/>
      <c r="AC500" s="41"/>
      <c r="AD500" s="41"/>
      <c r="AE500" s="41"/>
      <c r="AF500" s="41"/>
      <c r="AG500" s="41"/>
      <c r="AH500" s="44"/>
      <c r="AI500" s="44"/>
      <c r="AJ500" s="44"/>
    </row>
    <row r="501" spans="11:36" x14ac:dyDescent="0.2">
      <c r="K501" s="41"/>
      <c r="L501" s="41"/>
      <c r="M501" s="41"/>
      <c r="N501" s="41"/>
      <c r="O501" s="41"/>
      <c r="P501" s="44"/>
      <c r="Q501" s="44"/>
      <c r="R501" s="44"/>
      <c r="T501" s="41"/>
      <c r="U501" s="41"/>
      <c r="V501" s="41"/>
      <c r="W501" s="41"/>
      <c r="X501" s="41"/>
      <c r="Y501" s="44"/>
      <c r="Z501" s="44"/>
      <c r="AA501" s="44"/>
      <c r="AC501" s="41"/>
      <c r="AD501" s="41"/>
      <c r="AE501" s="41"/>
      <c r="AF501" s="41"/>
      <c r="AG501" s="41"/>
      <c r="AH501" s="44"/>
      <c r="AI501" s="44"/>
      <c r="AJ501" s="44"/>
    </row>
    <row r="502" spans="11:36" x14ac:dyDescent="0.2">
      <c r="K502" s="41"/>
      <c r="L502" s="41"/>
      <c r="M502" s="41"/>
      <c r="N502" s="41"/>
      <c r="O502" s="41"/>
      <c r="P502" s="44"/>
      <c r="Q502" s="44"/>
      <c r="R502" s="44"/>
      <c r="T502" s="41"/>
      <c r="U502" s="41"/>
      <c r="V502" s="41"/>
      <c r="W502" s="41"/>
      <c r="X502" s="41"/>
      <c r="Y502" s="44"/>
      <c r="Z502" s="44"/>
      <c r="AA502" s="44"/>
      <c r="AC502" s="41"/>
      <c r="AD502" s="41"/>
      <c r="AE502" s="41"/>
      <c r="AF502" s="41"/>
      <c r="AG502" s="41"/>
      <c r="AH502" s="44"/>
      <c r="AI502" s="44"/>
      <c r="AJ502" s="44"/>
    </row>
    <row r="503" spans="11:36" x14ac:dyDescent="0.2">
      <c r="K503" s="41"/>
      <c r="L503" s="41"/>
      <c r="M503" s="41"/>
      <c r="N503" s="41"/>
      <c r="O503" s="41"/>
      <c r="P503" s="44"/>
      <c r="Q503" s="44"/>
      <c r="R503" s="44"/>
      <c r="T503" s="41"/>
      <c r="U503" s="41"/>
      <c r="V503" s="41"/>
      <c r="W503" s="41"/>
      <c r="X503" s="41"/>
      <c r="Y503" s="44"/>
      <c r="Z503" s="44"/>
      <c r="AA503" s="44"/>
      <c r="AC503" s="41"/>
      <c r="AD503" s="41"/>
      <c r="AE503" s="41"/>
      <c r="AF503" s="41"/>
      <c r="AG503" s="41"/>
      <c r="AH503" s="44"/>
      <c r="AI503" s="44"/>
      <c r="AJ503" s="44"/>
    </row>
    <row r="504" spans="11:36" x14ac:dyDescent="0.2">
      <c r="K504" s="41"/>
      <c r="L504" s="41"/>
      <c r="M504" s="41"/>
      <c r="N504" s="41"/>
      <c r="O504" s="41"/>
      <c r="P504" s="44"/>
      <c r="Q504" s="44"/>
      <c r="R504" s="44"/>
      <c r="T504" s="41"/>
      <c r="U504" s="41"/>
      <c r="V504" s="41"/>
      <c r="W504" s="41"/>
      <c r="X504" s="41"/>
      <c r="Y504" s="44"/>
      <c r="Z504" s="44"/>
      <c r="AA504" s="44"/>
      <c r="AC504" s="41"/>
      <c r="AD504" s="41"/>
      <c r="AE504" s="41"/>
      <c r="AF504" s="41"/>
      <c r="AG504" s="41"/>
      <c r="AH504" s="44"/>
      <c r="AI504" s="44"/>
      <c r="AJ504" s="44"/>
    </row>
    <row r="505" spans="11:36" x14ac:dyDescent="0.2">
      <c r="K505" s="41"/>
      <c r="L505" s="41"/>
      <c r="M505" s="41"/>
      <c r="N505" s="41"/>
      <c r="O505" s="41"/>
      <c r="P505" s="44"/>
      <c r="Q505" s="44"/>
      <c r="R505" s="44"/>
      <c r="T505" s="41"/>
      <c r="U505" s="41"/>
      <c r="V505" s="41"/>
      <c r="W505" s="41"/>
      <c r="X505" s="41"/>
      <c r="Y505" s="44"/>
      <c r="Z505" s="44"/>
      <c r="AA505" s="44"/>
      <c r="AC505" s="41"/>
      <c r="AD505" s="41"/>
      <c r="AE505" s="41"/>
      <c r="AF505" s="41"/>
      <c r="AG505" s="41"/>
      <c r="AH505" s="44"/>
      <c r="AI505" s="44"/>
      <c r="AJ505" s="44"/>
    </row>
    <row r="506" spans="11:36" x14ac:dyDescent="0.2">
      <c r="K506" s="41"/>
      <c r="L506" s="41"/>
      <c r="M506" s="41"/>
      <c r="N506" s="41"/>
      <c r="O506" s="41"/>
      <c r="P506" s="44"/>
      <c r="Q506" s="44"/>
      <c r="R506" s="44"/>
      <c r="T506" s="41"/>
      <c r="U506" s="41"/>
      <c r="V506" s="41"/>
      <c r="W506" s="41"/>
      <c r="X506" s="41"/>
      <c r="Y506" s="44"/>
      <c r="Z506" s="44"/>
      <c r="AA506" s="44"/>
      <c r="AC506" s="41"/>
      <c r="AD506" s="41"/>
      <c r="AE506" s="41"/>
      <c r="AF506" s="41"/>
      <c r="AG506" s="41"/>
      <c r="AH506" s="44"/>
      <c r="AI506" s="44"/>
      <c r="AJ506" s="44"/>
    </row>
    <row r="507" spans="11:36" x14ac:dyDescent="0.2">
      <c r="K507" s="41"/>
      <c r="L507" s="41"/>
      <c r="M507" s="41"/>
      <c r="N507" s="41"/>
      <c r="O507" s="41"/>
      <c r="P507" s="44"/>
      <c r="Q507" s="44"/>
      <c r="R507" s="44"/>
      <c r="T507" s="41"/>
      <c r="U507" s="41"/>
      <c r="V507" s="41"/>
      <c r="W507" s="41"/>
      <c r="X507" s="41"/>
      <c r="Y507" s="44"/>
      <c r="Z507" s="44"/>
      <c r="AA507" s="44"/>
      <c r="AC507" s="41"/>
      <c r="AD507" s="41"/>
      <c r="AE507" s="41"/>
      <c r="AF507" s="41"/>
      <c r="AG507" s="41"/>
      <c r="AH507" s="44"/>
      <c r="AI507" s="44"/>
      <c r="AJ507" s="44"/>
    </row>
    <row r="508" spans="11:36" x14ac:dyDescent="0.2">
      <c r="K508" s="41"/>
      <c r="L508" s="41"/>
      <c r="M508" s="41"/>
      <c r="N508" s="41"/>
      <c r="O508" s="41"/>
      <c r="P508" s="44"/>
      <c r="Q508" s="44"/>
      <c r="R508" s="44"/>
      <c r="T508" s="41"/>
      <c r="U508" s="41"/>
      <c r="V508" s="41"/>
      <c r="W508" s="41"/>
      <c r="X508" s="41"/>
      <c r="Y508" s="44"/>
      <c r="Z508" s="44"/>
      <c r="AA508" s="44"/>
      <c r="AC508" s="41"/>
      <c r="AD508" s="41"/>
      <c r="AE508" s="41"/>
      <c r="AF508" s="41"/>
      <c r="AG508" s="41"/>
      <c r="AH508" s="44"/>
      <c r="AI508" s="44"/>
      <c r="AJ508" s="44"/>
    </row>
    <row r="509" spans="11:36" x14ac:dyDescent="0.2">
      <c r="K509" s="41"/>
      <c r="L509" s="41"/>
      <c r="M509" s="41"/>
      <c r="N509" s="41"/>
      <c r="O509" s="41"/>
      <c r="P509" s="44"/>
      <c r="Q509" s="44"/>
      <c r="R509" s="44"/>
      <c r="T509" s="41"/>
      <c r="U509" s="41"/>
      <c r="V509" s="41"/>
      <c r="W509" s="41"/>
      <c r="X509" s="41"/>
      <c r="Y509" s="44"/>
      <c r="Z509" s="44"/>
      <c r="AA509" s="44"/>
      <c r="AC509" s="41"/>
      <c r="AD509" s="41"/>
      <c r="AE509" s="41"/>
      <c r="AF509" s="41"/>
      <c r="AG509" s="41"/>
      <c r="AH509" s="44"/>
      <c r="AI509" s="44"/>
      <c r="AJ509" s="44"/>
    </row>
    <row r="510" spans="11:36" x14ac:dyDescent="0.2">
      <c r="K510" s="41"/>
      <c r="L510" s="41"/>
      <c r="M510" s="41"/>
      <c r="N510" s="41"/>
      <c r="O510" s="41"/>
      <c r="P510" s="44"/>
      <c r="Q510" s="44"/>
      <c r="R510" s="44"/>
      <c r="T510" s="41"/>
      <c r="U510" s="41"/>
      <c r="V510" s="41"/>
      <c r="W510" s="41"/>
      <c r="X510" s="41"/>
      <c r="Y510" s="44"/>
      <c r="Z510" s="44"/>
      <c r="AA510" s="44"/>
      <c r="AC510" s="41"/>
      <c r="AD510" s="41"/>
      <c r="AE510" s="41"/>
      <c r="AF510" s="41"/>
      <c r="AG510" s="41"/>
      <c r="AH510" s="44"/>
      <c r="AI510" s="44"/>
      <c r="AJ510" s="44"/>
    </row>
    <row r="511" spans="11:36" x14ac:dyDescent="0.2">
      <c r="K511" s="41"/>
      <c r="L511" s="41"/>
      <c r="M511" s="41"/>
      <c r="N511" s="41"/>
      <c r="O511" s="41"/>
      <c r="P511" s="44"/>
      <c r="Q511" s="44"/>
      <c r="R511" s="44"/>
      <c r="T511" s="41"/>
      <c r="U511" s="41"/>
      <c r="V511" s="41"/>
      <c r="W511" s="41"/>
      <c r="X511" s="41"/>
      <c r="Y511" s="44"/>
      <c r="Z511" s="44"/>
      <c r="AA511" s="44"/>
      <c r="AC511" s="41"/>
      <c r="AD511" s="41"/>
      <c r="AE511" s="41"/>
      <c r="AF511" s="41"/>
      <c r="AG511" s="41"/>
      <c r="AH511" s="44"/>
      <c r="AI511" s="44"/>
      <c r="AJ511" s="44"/>
    </row>
    <row r="512" spans="11:36" x14ac:dyDescent="0.2">
      <c r="K512" s="41"/>
      <c r="L512" s="41"/>
      <c r="M512" s="41"/>
      <c r="N512" s="41"/>
      <c r="O512" s="41"/>
      <c r="P512" s="44"/>
      <c r="Q512" s="44"/>
      <c r="R512" s="44"/>
      <c r="T512" s="41"/>
      <c r="U512" s="41"/>
      <c r="V512" s="41"/>
      <c r="W512" s="41"/>
      <c r="X512" s="41"/>
      <c r="Y512" s="44"/>
      <c r="Z512" s="44"/>
      <c r="AA512" s="44"/>
      <c r="AC512" s="41"/>
      <c r="AD512" s="41"/>
      <c r="AE512" s="41"/>
      <c r="AF512" s="41"/>
      <c r="AG512" s="41"/>
      <c r="AH512" s="44"/>
      <c r="AI512" s="44"/>
      <c r="AJ512" s="44"/>
    </row>
    <row r="513" spans="11:36" x14ac:dyDescent="0.2">
      <c r="K513" s="41"/>
      <c r="L513" s="41"/>
      <c r="M513" s="41"/>
      <c r="N513" s="41"/>
      <c r="O513" s="41"/>
      <c r="P513" s="44"/>
      <c r="Q513" s="44"/>
      <c r="R513" s="44"/>
      <c r="T513" s="41"/>
      <c r="U513" s="41"/>
      <c r="V513" s="41"/>
      <c r="W513" s="41"/>
      <c r="X513" s="41"/>
      <c r="Y513" s="44"/>
      <c r="Z513" s="44"/>
      <c r="AA513" s="44"/>
      <c r="AC513" s="41"/>
      <c r="AD513" s="41"/>
      <c r="AE513" s="41"/>
      <c r="AF513" s="41"/>
      <c r="AG513" s="41"/>
      <c r="AH513" s="44"/>
      <c r="AI513" s="44"/>
      <c r="AJ513" s="44"/>
    </row>
    <row r="514" spans="11:36" x14ac:dyDescent="0.2">
      <c r="K514" s="41"/>
      <c r="L514" s="41"/>
      <c r="M514" s="41"/>
      <c r="N514" s="41"/>
      <c r="O514" s="41"/>
      <c r="P514" s="44"/>
      <c r="Q514" s="44"/>
      <c r="R514" s="44"/>
      <c r="T514" s="41"/>
      <c r="U514" s="41"/>
      <c r="V514" s="41"/>
      <c r="W514" s="41"/>
      <c r="X514" s="41"/>
      <c r="Y514" s="44"/>
      <c r="Z514" s="44"/>
      <c r="AA514" s="44"/>
      <c r="AC514" s="41"/>
      <c r="AD514" s="41"/>
      <c r="AE514" s="41"/>
      <c r="AF514" s="41"/>
      <c r="AG514" s="41"/>
      <c r="AH514" s="44"/>
      <c r="AI514" s="44"/>
      <c r="AJ514" s="44"/>
    </row>
    <row r="515" spans="11:36" x14ac:dyDescent="0.2">
      <c r="K515" s="41"/>
      <c r="L515" s="41"/>
      <c r="M515" s="41"/>
      <c r="N515" s="41"/>
      <c r="O515" s="41"/>
      <c r="P515" s="44"/>
      <c r="Q515" s="44"/>
      <c r="R515" s="44"/>
      <c r="T515" s="41"/>
      <c r="U515" s="41"/>
      <c r="V515" s="41"/>
      <c r="W515" s="41"/>
      <c r="X515" s="41"/>
      <c r="Y515" s="44"/>
      <c r="Z515" s="44"/>
      <c r="AA515" s="44"/>
      <c r="AC515" s="41"/>
      <c r="AD515" s="41"/>
      <c r="AE515" s="41"/>
      <c r="AF515" s="41"/>
      <c r="AG515" s="41"/>
      <c r="AH515" s="44"/>
      <c r="AI515" s="44"/>
      <c r="AJ515" s="44"/>
    </row>
    <row r="516" spans="11:36" x14ac:dyDescent="0.2">
      <c r="K516" s="41"/>
      <c r="L516" s="41"/>
      <c r="M516" s="41"/>
      <c r="N516" s="41"/>
      <c r="O516" s="41"/>
      <c r="P516" s="44"/>
      <c r="Q516" s="44"/>
      <c r="R516" s="44"/>
      <c r="T516" s="41"/>
      <c r="U516" s="41"/>
      <c r="V516" s="41"/>
      <c r="W516" s="41"/>
      <c r="X516" s="41"/>
      <c r="Y516" s="44"/>
      <c r="Z516" s="44"/>
      <c r="AA516" s="44"/>
      <c r="AC516" s="41"/>
      <c r="AD516" s="41"/>
      <c r="AE516" s="41"/>
      <c r="AF516" s="41"/>
      <c r="AG516" s="41"/>
      <c r="AH516" s="44"/>
      <c r="AI516" s="44"/>
      <c r="AJ516" s="44"/>
    </row>
    <row r="517" spans="11:36" x14ac:dyDescent="0.2">
      <c r="K517" s="41"/>
      <c r="L517" s="41"/>
      <c r="M517" s="41"/>
      <c r="N517" s="41"/>
      <c r="O517" s="41"/>
      <c r="P517" s="44"/>
      <c r="Q517" s="44"/>
      <c r="R517" s="44"/>
      <c r="T517" s="41"/>
      <c r="U517" s="41"/>
      <c r="V517" s="41"/>
      <c r="W517" s="41"/>
      <c r="X517" s="41"/>
      <c r="Y517" s="44"/>
      <c r="Z517" s="44"/>
      <c r="AA517" s="44"/>
      <c r="AC517" s="41"/>
      <c r="AD517" s="41"/>
      <c r="AE517" s="41"/>
      <c r="AF517" s="41"/>
      <c r="AG517" s="41"/>
      <c r="AH517" s="44"/>
      <c r="AI517" s="44"/>
      <c r="AJ517" s="44"/>
    </row>
    <row r="518" spans="11:36" x14ac:dyDescent="0.2">
      <c r="K518" s="41"/>
      <c r="L518" s="41"/>
      <c r="M518" s="41"/>
      <c r="N518" s="41"/>
      <c r="O518" s="41"/>
      <c r="P518" s="44"/>
      <c r="Q518" s="44"/>
      <c r="R518" s="44"/>
      <c r="T518" s="41"/>
      <c r="U518" s="41"/>
      <c r="V518" s="41"/>
      <c r="W518" s="41"/>
      <c r="X518" s="41"/>
      <c r="Y518" s="44"/>
      <c r="Z518" s="44"/>
      <c r="AA518" s="44"/>
      <c r="AC518" s="41"/>
      <c r="AD518" s="41"/>
      <c r="AE518" s="41"/>
      <c r="AF518" s="41"/>
      <c r="AG518" s="41"/>
      <c r="AH518" s="44"/>
      <c r="AI518" s="44"/>
      <c r="AJ518" s="44"/>
    </row>
    <row r="519" spans="11:36" x14ac:dyDescent="0.2">
      <c r="K519" s="41"/>
      <c r="L519" s="41"/>
      <c r="M519" s="41"/>
      <c r="N519" s="41"/>
      <c r="O519" s="41"/>
      <c r="P519" s="44"/>
      <c r="Q519" s="44"/>
      <c r="R519" s="44"/>
      <c r="T519" s="41"/>
      <c r="U519" s="41"/>
      <c r="V519" s="41"/>
      <c r="W519" s="41"/>
      <c r="X519" s="41"/>
      <c r="Y519" s="44"/>
      <c r="Z519" s="44"/>
      <c r="AA519" s="44"/>
      <c r="AC519" s="41"/>
      <c r="AD519" s="41"/>
      <c r="AE519" s="41"/>
      <c r="AF519" s="41"/>
      <c r="AG519" s="41"/>
      <c r="AH519" s="44"/>
      <c r="AI519" s="44"/>
      <c r="AJ519" s="44"/>
    </row>
    <row r="520" spans="11:36" x14ac:dyDescent="0.2">
      <c r="K520" s="41"/>
      <c r="L520" s="41"/>
      <c r="M520" s="41"/>
      <c r="N520" s="41"/>
      <c r="O520" s="41"/>
      <c r="P520" s="44"/>
      <c r="Q520" s="44"/>
      <c r="R520" s="44"/>
      <c r="T520" s="41"/>
      <c r="U520" s="41"/>
      <c r="V520" s="41"/>
      <c r="W520" s="41"/>
      <c r="X520" s="41"/>
      <c r="Y520" s="44"/>
      <c r="Z520" s="44"/>
      <c r="AA520" s="44"/>
      <c r="AC520" s="41"/>
      <c r="AD520" s="41"/>
      <c r="AE520" s="41"/>
      <c r="AF520" s="41"/>
      <c r="AG520" s="41"/>
      <c r="AH520" s="44"/>
      <c r="AI520" s="44"/>
      <c r="AJ520" s="44"/>
    </row>
    <row r="521" spans="11:36" x14ac:dyDescent="0.2">
      <c r="K521" s="41"/>
      <c r="L521" s="41"/>
      <c r="M521" s="41"/>
      <c r="N521" s="41"/>
      <c r="O521" s="41"/>
      <c r="P521" s="44"/>
      <c r="Q521" s="44"/>
      <c r="R521" s="44"/>
      <c r="T521" s="41"/>
      <c r="U521" s="41"/>
      <c r="V521" s="41"/>
      <c r="W521" s="41"/>
      <c r="X521" s="41"/>
      <c r="Y521" s="44"/>
      <c r="Z521" s="44"/>
      <c r="AA521" s="44"/>
      <c r="AC521" s="41"/>
      <c r="AD521" s="41"/>
      <c r="AE521" s="41"/>
      <c r="AF521" s="41"/>
      <c r="AG521" s="41"/>
      <c r="AH521" s="44"/>
      <c r="AI521" s="44"/>
      <c r="AJ521" s="44"/>
    </row>
    <row r="522" spans="11:36" x14ac:dyDescent="0.2">
      <c r="K522" s="41"/>
      <c r="L522" s="41"/>
      <c r="M522" s="41"/>
      <c r="N522" s="41"/>
      <c r="O522" s="41"/>
      <c r="P522" s="44"/>
      <c r="Q522" s="44"/>
      <c r="R522" s="44"/>
      <c r="T522" s="41"/>
      <c r="U522" s="41"/>
      <c r="V522" s="41"/>
      <c r="W522" s="41"/>
      <c r="X522" s="41"/>
      <c r="Y522" s="44"/>
      <c r="Z522" s="44"/>
      <c r="AA522" s="44"/>
      <c r="AC522" s="41"/>
      <c r="AD522" s="41"/>
      <c r="AE522" s="41"/>
      <c r="AF522" s="41"/>
      <c r="AG522" s="41"/>
      <c r="AH522" s="44"/>
      <c r="AI522" s="44"/>
      <c r="AJ522" s="44"/>
    </row>
    <row r="523" spans="11:36" x14ac:dyDescent="0.2">
      <c r="K523" s="41"/>
      <c r="L523" s="41"/>
      <c r="M523" s="41"/>
      <c r="N523" s="41"/>
      <c r="O523" s="41"/>
      <c r="P523" s="44"/>
      <c r="Q523" s="44"/>
      <c r="R523" s="44"/>
      <c r="T523" s="41"/>
      <c r="U523" s="41"/>
      <c r="V523" s="41"/>
      <c r="W523" s="41"/>
      <c r="X523" s="41"/>
      <c r="Y523" s="44"/>
      <c r="Z523" s="44"/>
      <c r="AA523" s="44"/>
      <c r="AC523" s="41"/>
      <c r="AD523" s="41"/>
      <c r="AE523" s="41"/>
      <c r="AF523" s="41"/>
      <c r="AG523" s="41"/>
      <c r="AH523" s="44"/>
      <c r="AI523" s="44"/>
      <c r="AJ523" s="44"/>
    </row>
    <row r="524" spans="11:36" x14ac:dyDescent="0.2">
      <c r="K524" s="41"/>
      <c r="L524" s="41"/>
      <c r="M524" s="41"/>
      <c r="N524" s="41"/>
      <c r="O524" s="41"/>
      <c r="P524" s="44"/>
      <c r="Q524" s="44"/>
      <c r="R524" s="44"/>
      <c r="T524" s="41"/>
      <c r="U524" s="41"/>
      <c r="V524" s="41"/>
      <c r="W524" s="41"/>
      <c r="X524" s="41"/>
      <c r="Y524" s="44"/>
      <c r="Z524" s="44"/>
      <c r="AA524" s="44"/>
      <c r="AC524" s="41"/>
      <c r="AD524" s="41"/>
      <c r="AE524" s="41"/>
      <c r="AF524" s="41"/>
      <c r="AG524" s="41"/>
      <c r="AH524" s="44"/>
      <c r="AI524" s="44"/>
      <c r="AJ524" s="44"/>
    </row>
    <row r="525" spans="11:36" x14ac:dyDescent="0.2">
      <c r="K525" s="41"/>
      <c r="L525" s="41"/>
      <c r="M525" s="41"/>
      <c r="N525" s="41"/>
      <c r="O525" s="41"/>
      <c r="P525" s="44"/>
      <c r="Q525" s="44"/>
      <c r="R525" s="44"/>
      <c r="T525" s="41"/>
      <c r="U525" s="41"/>
      <c r="V525" s="41"/>
      <c r="W525" s="41"/>
      <c r="X525" s="41"/>
      <c r="Y525" s="44"/>
      <c r="Z525" s="44"/>
      <c r="AA525" s="44"/>
      <c r="AC525" s="41"/>
      <c r="AD525" s="41"/>
      <c r="AE525" s="41"/>
      <c r="AF525" s="41"/>
      <c r="AG525" s="41"/>
      <c r="AH525" s="44"/>
      <c r="AI525" s="44"/>
      <c r="AJ525" s="44"/>
    </row>
    <row r="526" spans="11:36" x14ac:dyDescent="0.2">
      <c r="K526" s="41"/>
      <c r="L526" s="41"/>
      <c r="M526" s="41"/>
      <c r="N526" s="41"/>
      <c r="O526" s="41"/>
      <c r="P526" s="44"/>
      <c r="Q526" s="44"/>
      <c r="R526" s="44"/>
      <c r="T526" s="41"/>
      <c r="U526" s="41"/>
      <c r="V526" s="41"/>
      <c r="W526" s="41"/>
      <c r="X526" s="41"/>
      <c r="Y526" s="44"/>
      <c r="Z526" s="44"/>
      <c r="AA526" s="44"/>
      <c r="AC526" s="41"/>
      <c r="AD526" s="41"/>
      <c r="AE526" s="41"/>
      <c r="AF526" s="41"/>
      <c r="AG526" s="41"/>
      <c r="AH526" s="44"/>
      <c r="AI526" s="44"/>
      <c r="AJ526" s="44"/>
    </row>
    <row r="527" spans="11:36" x14ac:dyDescent="0.2">
      <c r="K527" s="41"/>
      <c r="L527" s="41"/>
      <c r="M527" s="41"/>
      <c r="N527" s="41"/>
      <c r="O527" s="41"/>
      <c r="P527" s="44"/>
      <c r="Q527" s="44"/>
      <c r="R527" s="44"/>
      <c r="T527" s="41"/>
      <c r="U527" s="41"/>
      <c r="V527" s="41"/>
      <c r="W527" s="41"/>
      <c r="X527" s="41"/>
      <c r="Y527" s="44"/>
      <c r="Z527" s="44"/>
      <c r="AA527" s="44"/>
      <c r="AC527" s="41"/>
      <c r="AD527" s="41"/>
      <c r="AE527" s="41"/>
      <c r="AF527" s="41"/>
      <c r="AG527" s="41"/>
      <c r="AH527" s="44"/>
      <c r="AI527" s="44"/>
      <c r="AJ527" s="44"/>
    </row>
    <row r="528" spans="11:36" x14ac:dyDescent="0.2">
      <c r="K528" s="41"/>
      <c r="L528" s="41"/>
      <c r="M528" s="41"/>
      <c r="N528" s="41"/>
      <c r="O528" s="41"/>
      <c r="P528" s="44"/>
      <c r="Q528" s="44"/>
      <c r="R528" s="44"/>
      <c r="T528" s="41"/>
      <c r="U528" s="41"/>
      <c r="V528" s="41"/>
      <c r="W528" s="41"/>
      <c r="X528" s="41"/>
      <c r="Y528" s="44"/>
      <c r="Z528" s="44"/>
      <c r="AA528" s="44"/>
      <c r="AC528" s="41"/>
      <c r="AD528" s="41"/>
      <c r="AE528" s="41"/>
      <c r="AF528" s="41"/>
      <c r="AG528" s="41"/>
      <c r="AH528" s="44"/>
      <c r="AI528" s="44"/>
      <c r="AJ528" s="44"/>
    </row>
    <row r="529" spans="11:36" x14ac:dyDescent="0.2">
      <c r="K529" s="41"/>
      <c r="L529" s="41"/>
      <c r="M529" s="41"/>
      <c r="N529" s="41"/>
      <c r="O529" s="41"/>
      <c r="P529" s="44"/>
      <c r="Q529" s="44"/>
      <c r="R529" s="44"/>
      <c r="T529" s="41"/>
      <c r="U529" s="41"/>
      <c r="V529" s="41"/>
      <c r="W529" s="41"/>
      <c r="X529" s="41"/>
      <c r="Y529" s="44"/>
      <c r="Z529" s="44"/>
      <c r="AA529" s="44"/>
      <c r="AC529" s="41"/>
      <c r="AD529" s="41"/>
      <c r="AE529" s="41"/>
      <c r="AF529" s="41"/>
      <c r="AG529" s="41"/>
      <c r="AH529" s="44"/>
      <c r="AI529" s="44"/>
      <c r="AJ529" s="44"/>
    </row>
    <row r="530" spans="11:36" x14ac:dyDescent="0.2">
      <c r="K530" s="41"/>
      <c r="L530" s="41"/>
      <c r="M530" s="41"/>
      <c r="N530" s="41"/>
      <c r="O530" s="41"/>
      <c r="P530" s="44"/>
      <c r="Q530" s="44"/>
      <c r="R530" s="44"/>
      <c r="T530" s="41"/>
      <c r="U530" s="41"/>
      <c r="V530" s="41"/>
      <c r="W530" s="41"/>
      <c r="X530" s="41"/>
      <c r="Y530" s="44"/>
      <c r="Z530" s="44"/>
      <c r="AA530" s="44"/>
      <c r="AC530" s="41"/>
      <c r="AD530" s="41"/>
      <c r="AE530" s="41"/>
      <c r="AF530" s="41"/>
      <c r="AG530" s="41"/>
      <c r="AH530" s="44"/>
      <c r="AI530" s="44"/>
      <c r="AJ530" s="44"/>
    </row>
    <row r="531" spans="11:36" x14ac:dyDescent="0.2">
      <c r="K531" s="41"/>
      <c r="L531" s="41"/>
      <c r="M531" s="41"/>
      <c r="N531" s="41"/>
      <c r="O531" s="41"/>
      <c r="P531" s="44"/>
      <c r="Q531" s="44"/>
      <c r="R531" s="44"/>
      <c r="T531" s="41"/>
      <c r="U531" s="41"/>
      <c r="V531" s="41"/>
      <c r="W531" s="41"/>
      <c r="X531" s="41"/>
      <c r="Y531" s="44"/>
      <c r="Z531" s="44"/>
      <c r="AA531" s="44"/>
      <c r="AC531" s="41"/>
      <c r="AD531" s="41"/>
      <c r="AE531" s="41"/>
      <c r="AF531" s="41"/>
      <c r="AG531" s="41"/>
      <c r="AH531" s="44"/>
      <c r="AI531" s="44"/>
      <c r="AJ531" s="44"/>
    </row>
    <row r="532" spans="11:36" x14ac:dyDescent="0.2">
      <c r="K532" s="41"/>
      <c r="L532" s="41"/>
      <c r="M532" s="41"/>
      <c r="N532" s="41"/>
      <c r="O532" s="41"/>
      <c r="P532" s="44"/>
      <c r="Q532" s="44"/>
      <c r="R532" s="44"/>
      <c r="T532" s="41"/>
      <c r="U532" s="41"/>
      <c r="V532" s="41"/>
      <c r="W532" s="41"/>
      <c r="X532" s="41"/>
      <c r="Y532" s="44"/>
      <c r="Z532" s="44"/>
      <c r="AA532" s="44"/>
      <c r="AC532" s="41"/>
      <c r="AD532" s="41"/>
      <c r="AE532" s="41"/>
      <c r="AF532" s="41"/>
      <c r="AG532" s="41"/>
      <c r="AH532" s="44"/>
      <c r="AI532" s="44"/>
      <c r="AJ532" s="44"/>
    </row>
    <row r="533" spans="11:36" x14ac:dyDescent="0.2">
      <c r="K533" s="41"/>
      <c r="L533" s="41"/>
      <c r="M533" s="41"/>
      <c r="N533" s="41"/>
      <c r="O533" s="41"/>
      <c r="P533" s="44"/>
      <c r="Q533" s="44"/>
      <c r="R533" s="44"/>
      <c r="T533" s="41"/>
      <c r="U533" s="41"/>
      <c r="V533" s="41"/>
      <c r="W533" s="41"/>
      <c r="X533" s="41"/>
      <c r="Y533" s="44"/>
      <c r="Z533" s="44"/>
      <c r="AA533" s="44"/>
      <c r="AC533" s="41"/>
      <c r="AD533" s="41"/>
      <c r="AE533" s="41"/>
      <c r="AF533" s="41"/>
      <c r="AG533" s="41"/>
      <c r="AH533" s="44"/>
      <c r="AI533" s="44"/>
      <c r="AJ533" s="44"/>
    </row>
    <row r="534" spans="11:36" x14ac:dyDescent="0.2">
      <c r="K534" s="41"/>
      <c r="L534" s="41"/>
      <c r="M534" s="41"/>
      <c r="N534" s="41"/>
      <c r="O534" s="41"/>
      <c r="P534" s="44"/>
      <c r="Q534" s="44"/>
      <c r="R534" s="44"/>
      <c r="T534" s="41"/>
      <c r="U534" s="41"/>
      <c r="V534" s="41"/>
      <c r="W534" s="41"/>
      <c r="X534" s="41"/>
      <c r="Y534" s="44"/>
      <c r="Z534" s="44"/>
      <c r="AA534" s="44"/>
      <c r="AC534" s="41"/>
      <c r="AD534" s="41"/>
      <c r="AE534" s="41"/>
      <c r="AF534" s="41"/>
      <c r="AG534" s="41"/>
      <c r="AH534" s="44"/>
      <c r="AI534" s="44"/>
      <c r="AJ534" s="44"/>
    </row>
    <row r="535" spans="11:36" x14ac:dyDescent="0.2">
      <c r="K535" s="41"/>
      <c r="L535" s="41"/>
      <c r="M535" s="41"/>
      <c r="N535" s="41"/>
      <c r="O535" s="41"/>
      <c r="P535" s="44"/>
      <c r="Q535" s="44"/>
      <c r="R535" s="44"/>
      <c r="T535" s="41"/>
      <c r="U535" s="41"/>
      <c r="V535" s="41"/>
      <c r="W535" s="41"/>
      <c r="X535" s="41"/>
      <c r="Y535" s="44"/>
      <c r="Z535" s="44"/>
      <c r="AA535" s="44"/>
      <c r="AC535" s="41"/>
      <c r="AD535" s="41"/>
      <c r="AE535" s="41"/>
      <c r="AF535" s="41"/>
      <c r="AG535" s="41"/>
      <c r="AH535" s="44"/>
      <c r="AI535" s="44"/>
      <c r="AJ535" s="44"/>
    </row>
    <row r="536" spans="11:36" x14ac:dyDescent="0.2">
      <c r="K536" s="41"/>
      <c r="L536" s="41"/>
      <c r="M536" s="41"/>
      <c r="N536" s="41"/>
      <c r="O536" s="41"/>
      <c r="P536" s="44"/>
      <c r="Q536" s="44"/>
      <c r="R536" s="44"/>
      <c r="T536" s="41"/>
      <c r="U536" s="41"/>
      <c r="V536" s="41"/>
      <c r="W536" s="41"/>
      <c r="X536" s="41"/>
      <c r="Y536" s="44"/>
      <c r="Z536" s="44"/>
      <c r="AA536" s="44"/>
      <c r="AC536" s="41"/>
      <c r="AD536" s="41"/>
      <c r="AE536" s="41"/>
      <c r="AF536" s="41"/>
      <c r="AG536" s="41"/>
      <c r="AH536" s="44"/>
      <c r="AI536" s="44"/>
      <c r="AJ536" s="44"/>
    </row>
    <row r="537" spans="11:36" x14ac:dyDescent="0.2">
      <c r="K537" s="41"/>
      <c r="L537" s="41"/>
      <c r="M537" s="41"/>
      <c r="N537" s="41"/>
      <c r="O537" s="41"/>
      <c r="P537" s="44"/>
      <c r="Q537" s="44"/>
      <c r="R537" s="44"/>
      <c r="T537" s="41"/>
      <c r="U537" s="41"/>
      <c r="V537" s="41"/>
      <c r="W537" s="41"/>
      <c r="X537" s="41"/>
      <c r="Y537" s="44"/>
      <c r="Z537" s="44"/>
      <c r="AA537" s="44"/>
      <c r="AC537" s="41"/>
      <c r="AD537" s="41"/>
      <c r="AE537" s="41"/>
      <c r="AF537" s="41"/>
      <c r="AG537" s="41"/>
      <c r="AH537" s="44"/>
      <c r="AI537" s="44"/>
      <c r="AJ537" s="44"/>
    </row>
    <row r="538" spans="11:36" x14ac:dyDescent="0.2">
      <c r="K538" s="41"/>
      <c r="L538" s="41"/>
      <c r="M538" s="41"/>
      <c r="N538" s="41"/>
      <c r="O538" s="41"/>
      <c r="P538" s="44"/>
      <c r="Q538" s="44"/>
      <c r="R538" s="44"/>
      <c r="T538" s="41"/>
      <c r="U538" s="41"/>
      <c r="V538" s="41"/>
      <c r="W538" s="41"/>
      <c r="X538" s="41"/>
      <c r="Y538" s="44"/>
      <c r="Z538" s="44"/>
      <c r="AA538" s="44"/>
      <c r="AC538" s="41"/>
      <c r="AD538" s="41"/>
      <c r="AE538" s="41"/>
      <c r="AF538" s="41"/>
      <c r="AG538" s="41"/>
      <c r="AH538" s="44"/>
      <c r="AI538" s="44"/>
      <c r="AJ538" s="44"/>
    </row>
    <row r="539" spans="11:36" x14ac:dyDescent="0.2">
      <c r="K539" s="41"/>
      <c r="L539" s="41"/>
      <c r="M539" s="41"/>
      <c r="N539" s="41"/>
      <c r="O539" s="41"/>
      <c r="P539" s="44"/>
      <c r="Q539" s="44"/>
      <c r="R539" s="44"/>
      <c r="T539" s="41"/>
      <c r="U539" s="41"/>
      <c r="V539" s="41"/>
      <c r="W539" s="41"/>
      <c r="X539" s="41"/>
      <c r="Y539" s="44"/>
      <c r="Z539" s="44"/>
      <c r="AA539" s="44"/>
      <c r="AC539" s="41"/>
      <c r="AD539" s="41"/>
      <c r="AE539" s="41"/>
      <c r="AF539" s="41"/>
      <c r="AG539" s="41"/>
      <c r="AH539" s="44"/>
      <c r="AI539" s="44"/>
      <c r="AJ539" s="44"/>
    </row>
    <row r="540" spans="11:36" x14ac:dyDescent="0.2">
      <c r="K540" s="41"/>
      <c r="L540" s="41"/>
      <c r="M540" s="41"/>
      <c r="N540" s="41"/>
      <c r="O540" s="41"/>
      <c r="P540" s="44"/>
      <c r="Q540" s="44"/>
      <c r="R540" s="44"/>
      <c r="T540" s="41"/>
      <c r="U540" s="41"/>
      <c r="V540" s="41"/>
      <c r="W540" s="41"/>
      <c r="X540" s="41"/>
      <c r="Y540" s="44"/>
      <c r="Z540" s="44"/>
      <c r="AA540" s="44"/>
      <c r="AC540" s="41"/>
      <c r="AD540" s="41"/>
      <c r="AE540" s="41"/>
      <c r="AF540" s="41"/>
      <c r="AG540" s="41"/>
      <c r="AH540" s="44"/>
      <c r="AI540" s="44"/>
      <c r="AJ540" s="44"/>
    </row>
    <row r="541" spans="11:36" x14ac:dyDescent="0.2">
      <c r="K541" s="41"/>
      <c r="L541" s="41"/>
      <c r="M541" s="41"/>
      <c r="N541" s="41"/>
      <c r="O541" s="41"/>
      <c r="P541" s="44"/>
      <c r="Q541" s="44"/>
      <c r="R541" s="44"/>
      <c r="T541" s="41"/>
      <c r="U541" s="41"/>
      <c r="V541" s="41"/>
      <c r="W541" s="41"/>
      <c r="X541" s="41"/>
      <c r="Y541" s="44"/>
      <c r="Z541" s="44"/>
      <c r="AA541" s="44"/>
      <c r="AC541" s="41"/>
      <c r="AD541" s="41"/>
      <c r="AE541" s="41"/>
      <c r="AF541" s="41"/>
      <c r="AG541" s="41"/>
      <c r="AH541" s="44"/>
      <c r="AI541" s="44"/>
      <c r="AJ541" s="44"/>
    </row>
    <row r="542" spans="11:36" x14ac:dyDescent="0.2">
      <c r="K542" s="41"/>
      <c r="L542" s="41"/>
      <c r="M542" s="41"/>
      <c r="N542" s="41"/>
      <c r="O542" s="41"/>
      <c r="P542" s="44"/>
      <c r="Q542" s="44"/>
      <c r="R542" s="44"/>
      <c r="T542" s="41"/>
      <c r="U542" s="41"/>
      <c r="V542" s="41"/>
      <c r="W542" s="41"/>
      <c r="X542" s="41"/>
      <c r="Y542" s="44"/>
      <c r="Z542" s="44"/>
      <c r="AA542" s="44"/>
      <c r="AC542" s="41"/>
      <c r="AD542" s="41"/>
      <c r="AE542" s="41"/>
      <c r="AF542" s="41"/>
      <c r="AG542" s="41"/>
      <c r="AH542" s="44"/>
      <c r="AI542" s="44"/>
      <c r="AJ542" s="44"/>
    </row>
    <row r="543" spans="11:36" x14ac:dyDescent="0.2">
      <c r="K543" s="41"/>
      <c r="L543" s="41"/>
      <c r="M543" s="41"/>
      <c r="N543" s="41"/>
      <c r="O543" s="41"/>
      <c r="P543" s="44"/>
      <c r="Q543" s="44"/>
      <c r="R543" s="44"/>
      <c r="T543" s="41"/>
      <c r="U543" s="41"/>
      <c r="V543" s="41"/>
      <c r="W543" s="41"/>
      <c r="X543" s="41"/>
      <c r="Y543" s="44"/>
      <c r="Z543" s="44"/>
      <c r="AA543" s="44"/>
      <c r="AC543" s="41"/>
      <c r="AD543" s="41"/>
      <c r="AE543" s="41"/>
      <c r="AF543" s="41"/>
      <c r="AG543" s="41"/>
      <c r="AH543" s="44"/>
      <c r="AI543" s="44"/>
      <c r="AJ543" s="44"/>
    </row>
    <row r="544" spans="11:36" x14ac:dyDescent="0.2">
      <c r="K544" s="41"/>
      <c r="L544" s="41"/>
      <c r="M544" s="41"/>
      <c r="N544" s="41"/>
      <c r="O544" s="41"/>
      <c r="P544" s="44"/>
      <c r="Q544" s="44"/>
      <c r="R544" s="44"/>
      <c r="T544" s="41"/>
      <c r="U544" s="41"/>
      <c r="V544" s="41"/>
      <c r="W544" s="41"/>
      <c r="X544" s="41"/>
      <c r="Y544" s="44"/>
      <c r="Z544" s="44"/>
      <c r="AA544" s="44"/>
      <c r="AC544" s="41"/>
      <c r="AD544" s="41"/>
      <c r="AE544" s="41"/>
      <c r="AF544" s="41"/>
      <c r="AG544" s="41"/>
      <c r="AH544" s="44"/>
      <c r="AI544" s="44"/>
      <c r="AJ544" s="44"/>
    </row>
    <row r="545" spans="11:36" x14ac:dyDescent="0.2">
      <c r="K545" s="41"/>
      <c r="L545" s="41"/>
      <c r="M545" s="41"/>
      <c r="N545" s="41"/>
      <c r="O545" s="41"/>
      <c r="P545" s="44"/>
      <c r="Q545" s="44"/>
      <c r="R545" s="44"/>
      <c r="T545" s="41"/>
      <c r="U545" s="41"/>
      <c r="V545" s="41"/>
      <c r="W545" s="41"/>
      <c r="X545" s="41"/>
      <c r="Y545" s="44"/>
      <c r="Z545" s="44"/>
      <c r="AA545" s="44"/>
      <c r="AC545" s="41"/>
      <c r="AD545" s="41"/>
      <c r="AE545" s="41"/>
      <c r="AF545" s="41"/>
      <c r="AG545" s="41"/>
      <c r="AH545" s="44"/>
      <c r="AI545" s="44"/>
      <c r="AJ545" s="44"/>
    </row>
    <row r="546" spans="11:36" x14ac:dyDescent="0.2">
      <c r="K546" s="41"/>
      <c r="L546" s="41"/>
      <c r="M546" s="41"/>
      <c r="N546" s="41"/>
      <c r="O546" s="41"/>
      <c r="P546" s="44"/>
      <c r="Q546" s="44"/>
      <c r="R546" s="44"/>
      <c r="T546" s="41"/>
      <c r="U546" s="41"/>
      <c r="V546" s="41"/>
      <c r="W546" s="41"/>
      <c r="X546" s="41"/>
      <c r="Y546" s="44"/>
      <c r="Z546" s="44"/>
      <c r="AA546" s="44"/>
      <c r="AC546" s="41"/>
      <c r="AD546" s="41"/>
      <c r="AE546" s="41"/>
      <c r="AF546" s="41"/>
      <c r="AG546" s="41"/>
      <c r="AH546" s="44"/>
      <c r="AI546" s="44"/>
      <c r="AJ546" s="44"/>
    </row>
    <row r="547" spans="11:36" x14ac:dyDescent="0.2">
      <c r="K547" s="41"/>
      <c r="L547" s="41"/>
      <c r="M547" s="41"/>
      <c r="N547" s="41"/>
      <c r="O547" s="41"/>
      <c r="P547" s="44"/>
      <c r="Q547" s="44"/>
      <c r="R547" s="44"/>
      <c r="T547" s="41"/>
      <c r="U547" s="41"/>
      <c r="V547" s="41"/>
      <c r="W547" s="41"/>
      <c r="X547" s="41"/>
      <c r="Y547" s="44"/>
      <c r="Z547" s="44"/>
      <c r="AA547" s="44"/>
      <c r="AC547" s="41"/>
      <c r="AD547" s="41"/>
      <c r="AE547" s="41"/>
      <c r="AF547" s="41"/>
      <c r="AG547" s="41"/>
      <c r="AH547" s="44"/>
      <c r="AI547" s="44"/>
      <c r="AJ547" s="44"/>
    </row>
    <row r="548" spans="11:36" x14ac:dyDescent="0.2">
      <c r="K548" s="41"/>
      <c r="L548" s="41"/>
      <c r="M548" s="41"/>
      <c r="N548" s="41"/>
      <c r="O548" s="41"/>
      <c r="P548" s="44"/>
      <c r="Q548" s="44"/>
      <c r="R548" s="44"/>
      <c r="T548" s="41"/>
      <c r="U548" s="41"/>
      <c r="V548" s="41"/>
      <c r="W548" s="41"/>
      <c r="X548" s="41"/>
      <c r="Y548" s="44"/>
      <c r="Z548" s="44"/>
      <c r="AA548" s="44"/>
      <c r="AC548" s="41"/>
      <c r="AD548" s="41"/>
      <c r="AE548" s="41"/>
      <c r="AF548" s="41"/>
      <c r="AG548" s="41"/>
      <c r="AH548" s="44"/>
      <c r="AI548" s="44"/>
      <c r="AJ548" s="44"/>
    </row>
    <row r="549" spans="11:36" x14ac:dyDescent="0.2">
      <c r="K549" s="41"/>
      <c r="L549" s="41"/>
      <c r="M549" s="41"/>
      <c r="N549" s="41"/>
      <c r="O549" s="41"/>
      <c r="P549" s="44"/>
      <c r="Q549" s="44"/>
      <c r="R549" s="44"/>
      <c r="T549" s="41"/>
      <c r="U549" s="41"/>
      <c r="V549" s="41"/>
      <c r="W549" s="41"/>
      <c r="X549" s="41"/>
      <c r="Y549" s="44"/>
      <c r="Z549" s="44"/>
      <c r="AA549" s="44"/>
      <c r="AC549" s="41"/>
      <c r="AD549" s="41"/>
      <c r="AE549" s="41"/>
      <c r="AF549" s="41"/>
      <c r="AG549" s="41"/>
      <c r="AH549" s="44"/>
      <c r="AI549" s="44"/>
      <c r="AJ549" s="44"/>
    </row>
    <row r="550" spans="11:36" x14ac:dyDescent="0.2">
      <c r="K550" s="41"/>
      <c r="L550" s="41"/>
      <c r="M550" s="41"/>
      <c r="N550" s="41"/>
      <c r="O550" s="41"/>
      <c r="P550" s="44"/>
      <c r="Q550" s="44"/>
      <c r="R550" s="44"/>
      <c r="T550" s="41"/>
      <c r="U550" s="41"/>
      <c r="V550" s="41"/>
      <c r="W550" s="41"/>
      <c r="X550" s="41"/>
      <c r="Y550" s="44"/>
      <c r="Z550" s="44"/>
      <c r="AA550" s="44"/>
      <c r="AC550" s="41"/>
      <c r="AD550" s="41"/>
      <c r="AE550" s="41"/>
      <c r="AF550" s="41"/>
      <c r="AG550" s="41"/>
      <c r="AH550" s="44"/>
      <c r="AI550" s="44"/>
      <c r="AJ550" s="44"/>
    </row>
    <row r="551" spans="11:36" x14ac:dyDescent="0.2">
      <c r="K551" s="41"/>
      <c r="L551" s="41"/>
      <c r="M551" s="41"/>
      <c r="N551" s="41"/>
      <c r="O551" s="41"/>
      <c r="P551" s="44"/>
      <c r="Q551" s="44"/>
      <c r="R551" s="44"/>
      <c r="T551" s="41"/>
      <c r="U551" s="41"/>
      <c r="V551" s="41"/>
      <c r="W551" s="41"/>
      <c r="X551" s="41"/>
      <c r="Y551" s="44"/>
      <c r="Z551" s="44"/>
      <c r="AA551" s="44"/>
      <c r="AC551" s="41"/>
      <c r="AD551" s="41"/>
      <c r="AE551" s="41"/>
      <c r="AF551" s="41"/>
      <c r="AG551" s="41"/>
      <c r="AH551" s="44"/>
      <c r="AI551" s="44"/>
      <c r="AJ551" s="44"/>
    </row>
    <row r="552" spans="11:36" x14ac:dyDescent="0.2">
      <c r="K552" s="41"/>
      <c r="L552" s="41"/>
      <c r="M552" s="41"/>
      <c r="N552" s="41"/>
      <c r="O552" s="41"/>
      <c r="P552" s="44"/>
      <c r="Q552" s="44"/>
      <c r="R552" s="44"/>
      <c r="T552" s="41"/>
      <c r="U552" s="41"/>
      <c r="V552" s="41"/>
      <c r="W552" s="41"/>
      <c r="X552" s="41"/>
      <c r="Y552" s="44"/>
      <c r="Z552" s="44"/>
      <c r="AA552" s="44"/>
      <c r="AC552" s="41"/>
      <c r="AD552" s="41"/>
      <c r="AE552" s="41"/>
      <c r="AF552" s="41"/>
      <c r="AG552" s="41"/>
      <c r="AH552" s="44"/>
      <c r="AI552" s="44"/>
      <c r="AJ552" s="44"/>
    </row>
    <row r="553" spans="11:36" x14ac:dyDescent="0.2">
      <c r="K553" s="41"/>
      <c r="L553" s="41"/>
      <c r="M553" s="41"/>
      <c r="N553" s="41"/>
      <c r="O553" s="41"/>
      <c r="P553" s="44"/>
      <c r="Q553" s="44"/>
      <c r="R553" s="44"/>
      <c r="T553" s="41"/>
      <c r="U553" s="41"/>
      <c r="V553" s="41"/>
      <c r="W553" s="41"/>
      <c r="X553" s="41"/>
      <c r="Y553" s="44"/>
      <c r="Z553" s="44"/>
      <c r="AA553" s="44"/>
      <c r="AC553" s="41"/>
      <c r="AD553" s="41"/>
      <c r="AE553" s="41"/>
      <c r="AF553" s="41"/>
      <c r="AG553" s="41"/>
      <c r="AH553" s="44"/>
      <c r="AI553" s="44"/>
      <c r="AJ553" s="44"/>
    </row>
    <row r="554" spans="11:36" x14ac:dyDescent="0.2">
      <c r="K554" s="41"/>
      <c r="L554" s="41"/>
      <c r="M554" s="41"/>
      <c r="N554" s="41"/>
      <c r="O554" s="41"/>
      <c r="P554" s="44"/>
      <c r="Q554" s="44"/>
      <c r="R554" s="44"/>
      <c r="T554" s="41"/>
      <c r="U554" s="41"/>
      <c r="V554" s="41"/>
      <c r="W554" s="41"/>
      <c r="X554" s="41"/>
      <c r="Y554" s="44"/>
      <c r="Z554" s="44"/>
      <c r="AA554" s="44"/>
      <c r="AC554" s="41"/>
      <c r="AD554" s="41"/>
      <c r="AE554" s="41"/>
      <c r="AF554" s="41"/>
      <c r="AG554" s="41"/>
      <c r="AH554" s="44"/>
      <c r="AI554" s="44"/>
      <c r="AJ554" s="44"/>
    </row>
    <row r="555" spans="11:36" x14ac:dyDescent="0.2">
      <c r="K555" s="41"/>
      <c r="L555" s="41"/>
      <c r="M555" s="41"/>
      <c r="N555" s="41"/>
      <c r="O555" s="41"/>
      <c r="P555" s="44"/>
      <c r="Q555" s="44"/>
      <c r="R555" s="44"/>
      <c r="T555" s="41"/>
      <c r="U555" s="41"/>
      <c r="V555" s="41"/>
      <c r="W555" s="41"/>
      <c r="X555" s="41"/>
      <c r="Y555" s="44"/>
      <c r="Z555" s="44"/>
      <c r="AA555" s="44"/>
      <c r="AC555" s="41"/>
      <c r="AD555" s="41"/>
      <c r="AE555" s="41"/>
      <c r="AF555" s="41"/>
      <c r="AG555" s="41"/>
      <c r="AH555" s="44"/>
      <c r="AI555" s="44"/>
      <c r="AJ555" s="44"/>
    </row>
    <row r="556" spans="11:36" x14ac:dyDescent="0.2">
      <c r="K556" s="41"/>
      <c r="L556" s="41"/>
      <c r="M556" s="41"/>
      <c r="N556" s="41"/>
      <c r="O556" s="41"/>
      <c r="P556" s="44"/>
      <c r="Q556" s="44"/>
      <c r="R556" s="44"/>
      <c r="T556" s="41"/>
      <c r="U556" s="41"/>
      <c r="V556" s="41"/>
      <c r="W556" s="41"/>
      <c r="X556" s="41"/>
      <c r="Y556" s="44"/>
      <c r="Z556" s="44"/>
      <c r="AA556" s="44"/>
      <c r="AC556" s="41"/>
      <c r="AD556" s="41"/>
      <c r="AE556" s="41"/>
      <c r="AF556" s="41"/>
      <c r="AG556" s="41"/>
      <c r="AH556" s="44"/>
      <c r="AI556" s="44"/>
      <c r="AJ556" s="44"/>
    </row>
    <row r="557" spans="11:36" x14ac:dyDescent="0.2">
      <c r="K557" s="41"/>
      <c r="L557" s="41"/>
      <c r="M557" s="41"/>
      <c r="N557" s="41"/>
      <c r="O557" s="41"/>
      <c r="P557" s="44"/>
      <c r="Q557" s="44"/>
      <c r="R557" s="44"/>
      <c r="T557" s="41"/>
      <c r="U557" s="41"/>
      <c r="V557" s="41"/>
      <c r="W557" s="41"/>
      <c r="X557" s="41"/>
      <c r="Y557" s="44"/>
      <c r="Z557" s="44"/>
      <c r="AA557" s="44"/>
      <c r="AC557" s="41"/>
      <c r="AD557" s="41"/>
      <c r="AE557" s="41"/>
      <c r="AF557" s="41"/>
      <c r="AG557" s="41"/>
      <c r="AH557" s="44"/>
      <c r="AI557" s="44"/>
      <c r="AJ557" s="44"/>
    </row>
    <row r="558" spans="11:36" x14ac:dyDescent="0.2">
      <c r="K558" s="41"/>
      <c r="L558" s="41"/>
      <c r="M558" s="41"/>
      <c r="N558" s="41"/>
      <c r="O558" s="41"/>
      <c r="P558" s="44"/>
      <c r="Q558" s="44"/>
      <c r="R558" s="44"/>
      <c r="T558" s="41"/>
      <c r="U558" s="41"/>
      <c r="V558" s="41"/>
      <c r="W558" s="41"/>
      <c r="X558" s="41"/>
      <c r="Y558" s="44"/>
      <c r="Z558" s="44"/>
      <c r="AA558" s="44"/>
      <c r="AC558" s="41"/>
      <c r="AD558" s="41"/>
      <c r="AE558" s="41"/>
      <c r="AF558" s="41"/>
      <c r="AG558" s="41"/>
      <c r="AH558" s="44"/>
      <c r="AI558" s="44"/>
      <c r="AJ558" s="44"/>
    </row>
    <row r="559" spans="11:36" x14ac:dyDescent="0.2">
      <c r="K559" s="41"/>
      <c r="L559" s="41"/>
      <c r="M559" s="41"/>
      <c r="N559" s="41"/>
      <c r="O559" s="41"/>
      <c r="P559" s="44"/>
      <c r="Q559" s="44"/>
      <c r="R559" s="44"/>
      <c r="T559" s="41"/>
      <c r="U559" s="41"/>
      <c r="V559" s="41"/>
      <c r="W559" s="41"/>
      <c r="X559" s="41"/>
      <c r="Y559" s="44"/>
      <c r="Z559" s="44"/>
      <c r="AA559" s="44"/>
      <c r="AC559" s="41"/>
      <c r="AD559" s="41"/>
      <c r="AE559" s="41"/>
      <c r="AF559" s="41"/>
      <c r="AG559" s="41"/>
      <c r="AH559" s="44"/>
      <c r="AI559" s="44"/>
      <c r="AJ559" s="44"/>
    </row>
    <row r="560" spans="11:36" x14ac:dyDescent="0.2">
      <c r="K560" s="41"/>
      <c r="L560" s="41"/>
      <c r="M560" s="41"/>
      <c r="N560" s="41"/>
      <c r="O560" s="41"/>
      <c r="P560" s="44"/>
      <c r="Q560" s="44"/>
      <c r="R560" s="44"/>
      <c r="T560" s="41"/>
      <c r="U560" s="41"/>
      <c r="V560" s="41"/>
      <c r="W560" s="41"/>
      <c r="X560" s="41"/>
      <c r="Y560" s="44"/>
      <c r="Z560" s="44"/>
      <c r="AA560" s="44"/>
      <c r="AC560" s="41"/>
      <c r="AD560" s="41"/>
      <c r="AE560" s="41"/>
      <c r="AF560" s="41"/>
      <c r="AG560" s="41"/>
      <c r="AH560" s="44"/>
      <c r="AI560" s="44"/>
      <c r="AJ560" s="44"/>
    </row>
    <row r="561" spans="11:36" x14ac:dyDescent="0.2">
      <c r="K561" s="41"/>
      <c r="L561" s="41"/>
      <c r="M561" s="41"/>
      <c r="N561" s="41"/>
      <c r="O561" s="41"/>
      <c r="P561" s="44"/>
      <c r="Q561" s="44"/>
      <c r="R561" s="44"/>
      <c r="T561" s="41"/>
      <c r="U561" s="41"/>
      <c r="V561" s="41"/>
      <c r="W561" s="41"/>
      <c r="X561" s="41"/>
      <c r="Y561" s="44"/>
      <c r="Z561" s="44"/>
      <c r="AA561" s="44"/>
      <c r="AC561" s="41"/>
      <c r="AD561" s="41"/>
      <c r="AE561" s="41"/>
      <c r="AF561" s="41"/>
      <c r="AG561" s="41"/>
      <c r="AH561" s="44"/>
      <c r="AI561" s="44"/>
      <c r="AJ561" s="44"/>
    </row>
    <row r="562" spans="11:36" x14ac:dyDescent="0.2">
      <c r="K562" s="41"/>
      <c r="L562" s="41"/>
      <c r="M562" s="41"/>
      <c r="N562" s="41"/>
      <c r="O562" s="41"/>
      <c r="P562" s="44"/>
      <c r="Q562" s="44"/>
      <c r="R562" s="44"/>
      <c r="T562" s="41"/>
      <c r="U562" s="41"/>
      <c r="V562" s="41"/>
      <c r="W562" s="41"/>
      <c r="X562" s="41"/>
      <c r="Y562" s="44"/>
      <c r="Z562" s="44"/>
      <c r="AA562" s="44"/>
      <c r="AC562" s="41"/>
      <c r="AD562" s="41"/>
      <c r="AE562" s="41"/>
      <c r="AF562" s="41"/>
      <c r="AG562" s="41"/>
      <c r="AH562" s="44"/>
      <c r="AI562" s="44"/>
      <c r="AJ562" s="44"/>
    </row>
    <row r="563" spans="11:36" x14ac:dyDescent="0.2">
      <c r="K563" s="41"/>
      <c r="L563" s="41"/>
      <c r="M563" s="41"/>
      <c r="N563" s="41"/>
      <c r="O563" s="41"/>
      <c r="P563" s="44"/>
      <c r="Q563" s="44"/>
      <c r="R563" s="44"/>
      <c r="T563" s="41"/>
      <c r="U563" s="41"/>
      <c r="V563" s="41"/>
      <c r="W563" s="41"/>
      <c r="X563" s="41"/>
      <c r="Y563" s="44"/>
      <c r="Z563" s="44"/>
      <c r="AA563" s="44"/>
      <c r="AC563" s="41"/>
      <c r="AD563" s="41"/>
      <c r="AE563" s="41"/>
      <c r="AF563" s="41"/>
      <c r="AG563" s="41"/>
      <c r="AH563" s="44"/>
      <c r="AI563" s="44"/>
      <c r="AJ563" s="44"/>
    </row>
    <row r="564" spans="11:36" x14ac:dyDescent="0.2">
      <c r="K564" s="41"/>
      <c r="L564" s="41"/>
      <c r="M564" s="41"/>
      <c r="N564" s="41"/>
      <c r="O564" s="41"/>
      <c r="P564" s="44"/>
      <c r="Q564" s="44"/>
      <c r="R564" s="44"/>
      <c r="T564" s="41"/>
      <c r="U564" s="41"/>
      <c r="V564" s="41"/>
      <c r="W564" s="41"/>
      <c r="X564" s="41"/>
      <c r="Y564" s="44"/>
      <c r="Z564" s="44"/>
      <c r="AA564" s="44"/>
      <c r="AC564" s="41"/>
      <c r="AD564" s="41"/>
      <c r="AE564" s="41"/>
      <c r="AF564" s="41"/>
      <c r="AG564" s="41"/>
      <c r="AH564" s="44"/>
      <c r="AI564" s="44"/>
      <c r="AJ564" s="44"/>
    </row>
    <row r="565" spans="11:36" x14ac:dyDescent="0.2">
      <c r="K565" s="41"/>
      <c r="L565" s="41"/>
      <c r="M565" s="41"/>
      <c r="N565" s="41"/>
      <c r="O565" s="41"/>
      <c r="P565" s="44"/>
      <c r="Q565" s="44"/>
      <c r="R565" s="44"/>
      <c r="T565" s="41"/>
      <c r="U565" s="41"/>
      <c r="V565" s="41"/>
      <c r="W565" s="41"/>
      <c r="X565" s="41"/>
      <c r="Y565" s="44"/>
      <c r="Z565" s="44"/>
      <c r="AA565" s="44"/>
      <c r="AC565" s="41"/>
      <c r="AD565" s="41"/>
      <c r="AE565" s="41"/>
      <c r="AF565" s="41"/>
      <c r="AG565" s="41"/>
      <c r="AH565" s="44"/>
      <c r="AI565" s="44"/>
      <c r="AJ565" s="44"/>
    </row>
    <row r="566" spans="11:36" x14ac:dyDescent="0.2">
      <c r="K566" s="41"/>
      <c r="L566" s="41"/>
      <c r="M566" s="41"/>
      <c r="N566" s="41"/>
      <c r="O566" s="41"/>
      <c r="P566" s="44"/>
      <c r="Q566" s="44"/>
      <c r="R566" s="44"/>
      <c r="T566" s="41"/>
      <c r="U566" s="41"/>
      <c r="V566" s="41"/>
      <c r="W566" s="41"/>
      <c r="X566" s="41"/>
      <c r="Y566" s="44"/>
      <c r="Z566" s="44"/>
      <c r="AA566" s="44"/>
      <c r="AC566" s="41"/>
      <c r="AD566" s="41"/>
      <c r="AE566" s="41"/>
      <c r="AF566" s="41"/>
      <c r="AG566" s="41"/>
      <c r="AH566" s="44"/>
      <c r="AI566" s="44"/>
      <c r="AJ566" s="44"/>
    </row>
    <row r="567" spans="11:36" x14ac:dyDescent="0.2">
      <c r="K567" s="41"/>
      <c r="L567" s="41"/>
      <c r="M567" s="41"/>
      <c r="N567" s="41"/>
      <c r="O567" s="41"/>
      <c r="P567" s="44"/>
      <c r="Q567" s="44"/>
      <c r="R567" s="44"/>
      <c r="T567" s="41"/>
      <c r="U567" s="41"/>
      <c r="V567" s="41"/>
      <c r="W567" s="41"/>
      <c r="X567" s="41"/>
      <c r="Y567" s="44"/>
      <c r="Z567" s="44"/>
      <c r="AA567" s="44"/>
      <c r="AC567" s="41"/>
      <c r="AD567" s="41"/>
      <c r="AE567" s="41"/>
      <c r="AF567" s="41"/>
      <c r="AG567" s="41"/>
      <c r="AH567" s="44"/>
      <c r="AI567" s="44"/>
      <c r="AJ567" s="44"/>
    </row>
    <row r="568" spans="11:36" x14ac:dyDescent="0.2">
      <c r="K568" s="41"/>
      <c r="L568" s="41"/>
      <c r="M568" s="41"/>
      <c r="N568" s="41"/>
      <c r="O568" s="41"/>
      <c r="P568" s="44"/>
      <c r="Q568" s="44"/>
      <c r="R568" s="44"/>
      <c r="T568" s="41"/>
      <c r="U568" s="41"/>
      <c r="V568" s="41"/>
      <c r="W568" s="41"/>
      <c r="X568" s="41"/>
      <c r="Y568" s="44"/>
      <c r="Z568" s="44"/>
      <c r="AA568" s="44"/>
      <c r="AC568" s="41"/>
      <c r="AD568" s="41"/>
      <c r="AE568" s="41"/>
      <c r="AF568" s="41"/>
      <c r="AG568" s="41"/>
      <c r="AH568" s="44"/>
      <c r="AI568" s="44"/>
      <c r="AJ568" s="44"/>
    </row>
    <row r="569" spans="11:36" x14ac:dyDescent="0.2">
      <c r="K569" s="41"/>
      <c r="L569" s="41"/>
      <c r="M569" s="41"/>
      <c r="N569" s="41"/>
      <c r="O569" s="41"/>
      <c r="P569" s="44"/>
      <c r="Q569" s="44"/>
      <c r="R569" s="44"/>
      <c r="T569" s="41"/>
      <c r="U569" s="41"/>
      <c r="V569" s="41"/>
      <c r="W569" s="41"/>
      <c r="X569" s="41"/>
      <c r="Y569" s="44"/>
      <c r="Z569" s="44"/>
      <c r="AA569" s="44"/>
      <c r="AC569" s="41"/>
      <c r="AD569" s="41"/>
      <c r="AE569" s="41"/>
      <c r="AF569" s="41"/>
      <c r="AG569" s="41"/>
      <c r="AH569" s="44"/>
      <c r="AI569" s="44"/>
      <c r="AJ569" s="44"/>
    </row>
    <row r="570" spans="11:36" x14ac:dyDescent="0.2">
      <c r="K570" s="41"/>
      <c r="L570" s="41"/>
      <c r="M570" s="41"/>
      <c r="N570" s="41"/>
      <c r="O570" s="41"/>
      <c r="P570" s="44"/>
      <c r="Q570" s="44"/>
      <c r="R570" s="44"/>
      <c r="T570" s="41"/>
      <c r="U570" s="41"/>
      <c r="V570" s="41"/>
      <c r="W570" s="41"/>
      <c r="X570" s="41"/>
      <c r="Y570" s="44"/>
      <c r="Z570" s="44"/>
      <c r="AA570" s="44"/>
      <c r="AC570" s="41"/>
      <c r="AD570" s="41"/>
      <c r="AE570" s="41"/>
      <c r="AF570" s="41"/>
      <c r="AG570" s="41"/>
      <c r="AH570" s="44"/>
      <c r="AI570" s="44"/>
      <c r="AJ570" s="44"/>
    </row>
    <row r="571" spans="11:36" x14ac:dyDescent="0.2">
      <c r="K571" s="41"/>
      <c r="L571" s="41"/>
      <c r="M571" s="41"/>
      <c r="N571" s="41"/>
      <c r="O571" s="41"/>
      <c r="P571" s="44"/>
      <c r="Q571" s="44"/>
      <c r="R571" s="44"/>
      <c r="T571" s="41"/>
      <c r="U571" s="41"/>
      <c r="V571" s="41"/>
      <c r="W571" s="41"/>
      <c r="X571" s="41"/>
      <c r="Y571" s="44"/>
      <c r="Z571" s="44"/>
      <c r="AA571" s="44"/>
      <c r="AC571" s="41"/>
      <c r="AD571" s="41"/>
      <c r="AE571" s="41"/>
      <c r="AF571" s="41"/>
      <c r="AG571" s="41"/>
      <c r="AH571" s="44"/>
      <c r="AI571" s="44"/>
      <c r="AJ571" s="44"/>
    </row>
    <row r="572" spans="11:36" x14ac:dyDescent="0.2">
      <c r="K572" s="41"/>
      <c r="L572" s="41"/>
      <c r="M572" s="41"/>
      <c r="N572" s="41"/>
      <c r="O572" s="41"/>
      <c r="P572" s="44"/>
      <c r="Q572" s="44"/>
      <c r="R572" s="44"/>
      <c r="T572" s="41"/>
      <c r="U572" s="41"/>
      <c r="V572" s="41"/>
      <c r="W572" s="41"/>
      <c r="X572" s="41"/>
      <c r="Y572" s="44"/>
      <c r="Z572" s="44"/>
      <c r="AA572" s="44"/>
      <c r="AC572" s="41"/>
      <c r="AD572" s="41"/>
      <c r="AE572" s="41"/>
      <c r="AF572" s="41"/>
      <c r="AG572" s="41"/>
      <c r="AH572" s="44"/>
      <c r="AI572" s="44"/>
      <c r="AJ572" s="44"/>
    </row>
    <row r="573" spans="11:36" x14ac:dyDescent="0.2">
      <c r="K573" s="41"/>
      <c r="L573" s="41"/>
      <c r="M573" s="41"/>
      <c r="N573" s="41"/>
      <c r="O573" s="41"/>
      <c r="P573" s="44"/>
      <c r="Q573" s="44"/>
      <c r="R573" s="44"/>
      <c r="T573" s="41"/>
      <c r="U573" s="41"/>
      <c r="V573" s="41"/>
      <c r="W573" s="41"/>
      <c r="X573" s="41"/>
      <c r="Y573" s="44"/>
      <c r="Z573" s="44"/>
      <c r="AA573" s="44"/>
      <c r="AC573" s="41"/>
      <c r="AD573" s="41"/>
      <c r="AE573" s="41"/>
      <c r="AF573" s="41"/>
      <c r="AG573" s="41"/>
      <c r="AH573" s="44"/>
      <c r="AI573" s="44"/>
      <c r="AJ573" s="44"/>
    </row>
    <row r="574" spans="11:36" x14ac:dyDescent="0.2">
      <c r="K574" s="41"/>
      <c r="L574" s="41"/>
      <c r="M574" s="41"/>
      <c r="N574" s="41"/>
      <c r="O574" s="41"/>
      <c r="P574" s="44"/>
      <c r="Q574" s="44"/>
      <c r="R574" s="44"/>
      <c r="T574" s="41"/>
      <c r="U574" s="41"/>
      <c r="V574" s="41"/>
      <c r="W574" s="41"/>
      <c r="X574" s="41"/>
      <c r="Y574" s="44"/>
      <c r="Z574" s="44"/>
      <c r="AA574" s="44"/>
      <c r="AC574" s="41"/>
      <c r="AD574" s="41"/>
      <c r="AE574" s="41"/>
      <c r="AF574" s="41"/>
      <c r="AG574" s="41"/>
      <c r="AH574" s="44"/>
      <c r="AI574" s="44"/>
      <c r="AJ574" s="44"/>
    </row>
    <row r="575" spans="11:36" x14ac:dyDescent="0.2">
      <c r="K575" s="41"/>
      <c r="L575" s="41"/>
      <c r="M575" s="41"/>
      <c r="N575" s="41"/>
      <c r="O575" s="41"/>
      <c r="P575" s="44"/>
      <c r="Q575" s="44"/>
      <c r="R575" s="44"/>
      <c r="T575" s="41"/>
      <c r="U575" s="41"/>
      <c r="V575" s="41"/>
      <c r="W575" s="41"/>
      <c r="X575" s="41"/>
      <c r="Y575" s="44"/>
      <c r="Z575" s="44"/>
      <c r="AA575" s="44"/>
      <c r="AC575" s="41"/>
      <c r="AD575" s="41"/>
      <c r="AE575" s="41"/>
      <c r="AF575" s="41"/>
      <c r="AG575" s="41"/>
      <c r="AH575" s="44"/>
      <c r="AI575" s="44"/>
      <c r="AJ575" s="44"/>
    </row>
    <row r="576" spans="11:36" x14ac:dyDescent="0.2">
      <c r="K576" s="41"/>
      <c r="L576" s="41"/>
      <c r="M576" s="41"/>
      <c r="N576" s="41"/>
      <c r="O576" s="41"/>
      <c r="P576" s="44"/>
      <c r="Q576" s="44"/>
      <c r="R576" s="44"/>
      <c r="T576" s="41"/>
      <c r="U576" s="41"/>
      <c r="V576" s="41"/>
      <c r="W576" s="41"/>
      <c r="X576" s="41"/>
      <c r="Y576" s="44"/>
      <c r="Z576" s="44"/>
      <c r="AA576" s="44"/>
      <c r="AC576" s="41"/>
      <c r="AD576" s="41"/>
      <c r="AE576" s="41"/>
      <c r="AF576" s="41"/>
      <c r="AG576" s="41"/>
      <c r="AH576" s="44"/>
      <c r="AI576" s="44"/>
      <c r="AJ576" s="44"/>
    </row>
    <row r="577" spans="11:36" x14ac:dyDescent="0.2">
      <c r="K577" s="41"/>
      <c r="L577" s="41"/>
      <c r="M577" s="41"/>
      <c r="N577" s="41"/>
      <c r="O577" s="41"/>
      <c r="P577" s="44"/>
      <c r="Q577" s="44"/>
      <c r="R577" s="44"/>
      <c r="T577" s="41"/>
      <c r="U577" s="41"/>
      <c r="V577" s="41"/>
      <c r="W577" s="41"/>
      <c r="X577" s="41"/>
      <c r="Y577" s="44"/>
      <c r="Z577" s="44"/>
      <c r="AA577" s="44"/>
      <c r="AC577" s="41"/>
      <c r="AD577" s="41"/>
      <c r="AE577" s="41"/>
      <c r="AF577" s="41"/>
      <c r="AG577" s="41"/>
      <c r="AH577" s="44"/>
      <c r="AI577" s="44"/>
      <c r="AJ577" s="44"/>
    </row>
    <row r="578" spans="11:36" x14ac:dyDescent="0.2">
      <c r="K578" s="41"/>
      <c r="L578" s="41"/>
      <c r="M578" s="41"/>
      <c r="N578" s="41"/>
      <c r="O578" s="41"/>
      <c r="P578" s="44"/>
      <c r="Q578" s="44"/>
      <c r="R578" s="44"/>
      <c r="T578" s="41"/>
      <c r="U578" s="41"/>
      <c r="V578" s="41"/>
      <c r="W578" s="41"/>
      <c r="X578" s="41"/>
      <c r="Y578" s="44"/>
      <c r="Z578" s="44"/>
      <c r="AA578" s="44"/>
      <c r="AC578" s="41"/>
      <c r="AD578" s="41"/>
      <c r="AE578" s="41"/>
      <c r="AF578" s="41"/>
      <c r="AG578" s="41"/>
      <c r="AH578" s="44"/>
      <c r="AI578" s="44"/>
      <c r="AJ578" s="44"/>
    </row>
    <row r="579" spans="11:36" x14ac:dyDescent="0.2">
      <c r="K579" s="41"/>
      <c r="L579" s="41"/>
      <c r="M579" s="41"/>
      <c r="N579" s="41"/>
      <c r="O579" s="41"/>
      <c r="P579" s="44"/>
      <c r="Q579" s="44"/>
      <c r="R579" s="44"/>
      <c r="T579" s="41"/>
      <c r="U579" s="41"/>
      <c r="V579" s="41"/>
      <c r="W579" s="41"/>
      <c r="X579" s="41"/>
      <c r="Y579" s="44"/>
      <c r="Z579" s="44"/>
      <c r="AA579" s="44"/>
      <c r="AC579" s="41"/>
      <c r="AD579" s="41"/>
      <c r="AE579" s="41"/>
      <c r="AF579" s="41"/>
      <c r="AG579" s="41"/>
      <c r="AH579" s="44"/>
      <c r="AI579" s="44"/>
      <c r="AJ579" s="44"/>
    </row>
    <row r="580" spans="11:36" x14ac:dyDescent="0.2">
      <c r="K580" s="41"/>
      <c r="L580" s="41"/>
      <c r="M580" s="41"/>
      <c r="N580" s="41"/>
      <c r="O580" s="41"/>
      <c r="P580" s="44"/>
      <c r="Q580" s="44"/>
      <c r="R580" s="44"/>
      <c r="T580" s="41"/>
      <c r="U580" s="41"/>
      <c r="V580" s="41"/>
      <c r="W580" s="41"/>
      <c r="X580" s="41"/>
      <c r="Y580" s="44"/>
      <c r="Z580" s="44"/>
      <c r="AA580" s="44"/>
      <c r="AC580" s="41"/>
      <c r="AD580" s="41"/>
      <c r="AE580" s="41"/>
      <c r="AF580" s="41"/>
      <c r="AG580" s="41"/>
      <c r="AH580" s="44"/>
      <c r="AI580" s="44"/>
      <c r="AJ580" s="44"/>
    </row>
    <row r="581" spans="11:36" x14ac:dyDescent="0.2">
      <c r="K581" s="41"/>
      <c r="L581" s="41"/>
      <c r="M581" s="41"/>
      <c r="N581" s="41"/>
      <c r="O581" s="41"/>
      <c r="P581" s="44"/>
      <c r="Q581" s="44"/>
      <c r="R581" s="44"/>
      <c r="T581" s="41"/>
      <c r="U581" s="41"/>
      <c r="V581" s="41"/>
      <c r="W581" s="41"/>
      <c r="X581" s="41"/>
      <c r="Y581" s="44"/>
      <c r="Z581" s="44"/>
      <c r="AA581" s="44"/>
      <c r="AC581" s="41"/>
      <c r="AD581" s="41"/>
      <c r="AE581" s="41"/>
      <c r="AF581" s="41"/>
      <c r="AG581" s="41"/>
      <c r="AH581" s="44"/>
      <c r="AI581" s="44"/>
      <c r="AJ581" s="44"/>
    </row>
    <row r="582" spans="11:36" x14ac:dyDescent="0.2">
      <c r="K582" s="41"/>
      <c r="L582" s="41"/>
      <c r="M582" s="41"/>
      <c r="N582" s="41"/>
      <c r="O582" s="41"/>
      <c r="P582" s="44"/>
      <c r="Q582" s="44"/>
      <c r="R582" s="44"/>
      <c r="T582" s="41"/>
      <c r="U582" s="41"/>
      <c r="V582" s="41"/>
      <c r="W582" s="41"/>
      <c r="X582" s="41"/>
      <c r="Y582" s="44"/>
      <c r="Z582" s="44"/>
      <c r="AA582" s="44"/>
      <c r="AC582" s="41"/>
      <c r="AD582" s="41"/>
      <c r="AE582" s="41"/>
      <c r="AF582" s="41"/>
      <c r="AG582" s="41"/>
      <c r="AH582" s="44"/>
      <c r="AI582" s="44"/>
      <c r="AJ582" s="44"/>
    </row>
    <row r="583" spans="11:36" x14ac:dyDescent="0.2">
      <c r="K583" s="41"/>
      <c r="L583" s="41"/>
      <c r="M583" s="41"/>
      <c r="N583" s="41"/>
      <c r="O583" s="41"/>
      <c r="P583" s="44"/>
      <c r="Q583" s="44"/>
      <c r="R583" s="44"/>
      <c r="T583" s="41"/>
      <c r="U583" s="41"/>
      <c r="V583" s="41"/>
      <c r="W583" s="41"/>
      <c r="X583" s="41"/>
      <c r="Y583" s="44"/>
      <c r="Z583" s="44"/>
      <c r="AA583" s="44"/>
      <c r="AC583" s="41"/>
      <c r="AD583" s="41"/>
      <c r="AE583" s="41"/>
      <c r="AF583" s="41"/>
      <c r="AG583" s="41"/>
      <c r="AH583" s="44"/>
      <c r="AI583" s="44"/>
      <c r="AJ583" s="44"/>
    </row>
    <row r="584" spans="11:36" x14ac:dyDescent="0.2">
      <c r="K584" s="41"/>
      <c r="L584" s="41"/>
      <c r="M584" s="41"/>
      <c r="N584" s="41"/>
      <c r="O584" s="41"/>
      <c r="P584" s="44"/>
      <c r="Q584" s="44"/>
      <c r="R584" s="44"/>
      <c r="T584" s="41"/>
      <c r="U584" s="41"/>
      <c r="V584" s="41"/>
      <c r="W584" s="41"/>
      <c r="X584" s="41"/>
      <c r="Y584" s="44"/>
      <c r="Z584" s="44"/>
      <c r="AA584" s="44"/>
      <c r="AC584" s="41"/>
      <c r="AD584" s="41"/>
      <c r="AE584" s="41"/>
      <c r="AF584" s="41"/>
      <c r="AG584" s="41"/>
      <c r="AH584" s="44"/>
      <c r="AI584" s="44"/>
      <c r="AJ584" s="44"/>
    </row>
    <row r="585" spans="11:36" x14ac:dyDescent="0.2">
      <c r="K585" s="41"/>
      <c r="L585" s="41"/>
      <c r="M585" s="41"/>
      <c r="N585" s="41"/>
      <c r="O585" s="41"/>
      <c r="P585" s="44"/>
      <c r="Q585" s="44"/>
      <c r="R585" s="44"/>
      <c r="T585" s="41"/>
      <c r="U585" s="41"/>
      <c r="V585" s="41"/>
      <c r="W585" s="41"/>
      <c r="X585" s="41"/>
      <c r="Y585" s="44"/>
      <c r="Z585" s="44"/>
      <c r="AA585" s="44"/>
      <c r="AC585" s="41"/>
      <c r="AD585" s="41"/>
      <c r="AE585" s="41"/>
      <c r="AF585" s="41"/>
      <c r="AG585" s="41"/>
      <c r="AH585" s="44"/>
      <c r="AI585" s="44"/>
      <c r="AJ585" s="44"/>
    </row>
    <row r="586" spans="11:36" x14ac:dyDescent="0.2">
      <c r="K586" s="41"/>
      <c r="L586" s="41"/>
      <c r="M586" s="41"/>
      <c r="N586" s="41"/>
      <c r="O586" s="41"/>
      <c r="P586" s="44"/>
      <c r="Q586" s="44"/>
      <c r="R586" s="44"/>
      <c r="T586" s="41"/>
      <c r="U586" s="41"/>
      <c r="V586" s="41"/>
      <c r="W586" s="41"/>
      <c r="X586" s="41"/>
      <c r="Y586" s="44"/>
      <c r="Z586" s="44"/>
      <c r="AA586" s="44"/>
      <c r="AC586" s="41"/>
      <c r="AD586" s="41"/>
      <c r="AE586" s="41"/>
      <c r="AF586" s="41"/>
      <c r="AG586" s="41"/>
      <c r="AH586" s="44"/>
      <c r="AI586" s="44"/>
      <c r="AJ586" s="44"/>
    </row>
    <row r="587" spans="11:36" x14ac:dyDescent="0.2">
      <c r="K587" s="41"/>
      <c r="L587" s="41"/>
      <c r="M587" s="41"/>
      <c r="N587" s="41"/>
      <c r="O587" s="41"/>
      <c r="P587" s="44"/>
      <c r="Q587" s="44"/>
      <c r="R587" s="44"/>
      <c r="T587" s="41"/>
      <c r="U587" s="41"/>
      <c r="V587" s="41"/>
      <c r="W587" s="41"/>
      <c r="X587" s="41"/>
      <c r="Y587" s="44"/>
      <c r="Z587" s="44"/>
      <c r="AA587" s="44"/>
      <c r="AC587" s="41"/>
      <c r="AD587" s="41"/>
      <c r="AE587" s="41"/>
      <c r="AF587" s="41"/>
      <c r="AG587" s="41"/>
      <c r="AH587" s="44"/>
      <c r="AI587" s="44"/>
      <c r="AJ587" s="44"/>
    </row>
    <row r="588" spans="11:36" x14ac:dyDescent="0.2">
      <c r="K588" s="41"/>
      <c r="L588" s="41"/>
      <c r="M588" s="41"/>
      <c r="N588" s="41"/>
      <c r="O588" s="41"/>
      <c r="P588" s="44"/>
      <c r="Q588" s="44"/>
      <c r="R588" s="44"/>
      <c r="T588" s="41"/>
      <c r="U588" s="41"/>
      <c r="V588" s="41"/>
      <c r="W588" s="41"/>
      <c r="X588" s="41"/>
      <c r="Y588" s="44"/>
      <c r="Z588" s="44"/>
      <c r="AA588" s="44"/>
      <c r="AC588" s="41"/>
      <c r="AD588" s="41"/>
      <c r="AE588" s="41"/>
      <c r="AF588" s="41"/>
      <c r="AG588" s="41"/>
      <c r="AH588" s="44"/>
      <c r="AI588" s="44"/>
      <c r="AJ588" s="44"/>
    </row>
    <row r="589" spans="11:36" x14ac:dyDescent="0.2">
      <c r="K589" s="41"/>
      <c r="L589" s="41"/>
      <c r="M589" s="41"/>
      <c r="N589" s="41"/>
      <c r="O589" s="41"/>
      <c r="P589" s="44"/>
      <c r="Q589" s="44"/>
      <c r="R589" s="44"/>
      <c r="T589" s="41"/>
      <c r="U589" s="41"/>
      <c r="V589" s="41"/>
      <c r="W589" s="41"/>
      <c r="X589" s="41"/>
      <c r="Y589" s="44"/>
      <c r="Z589" s="44"/>
      <c r="AA589" s="44"/>
      <c r="AC589" s="41"/>
      <c r="AD589" s="41"/>
      <c r="AE589" s="41"/>
      <c r="AF589" s="41"/>
      <c r="AG589" s="41"/>
      <c r="AH589" s="44"/>
      <c r="AI589" s="44"/>
      <c r="AJ589" s="44"/>
    </row>
    <row r="590" spans="11:36" x14ac:dyDescent="0.2">
      <c r="K590" s="41"/>
      <c r="L590" s="41"/>
      <c r="M590" s="41"/>
      <c r="N590" s="41"/>
      <c r="O590" s="41"/>
      <c r="P590" s="44"/>
      <c r="Q590" s="44"/>
      <c r="R590" s="44"/>
      <c r="T590" s="41"/>
      <c r="U590" s="41"/>
      <c r="V590" s="41"/>
      <c r="W590" s="41"/>
      <c r="X590" s="41"/>
      <c r="Y590" s="44"/>
      <c r="Z590" s="44"/>
      <c r="AA590" s="44"/>
      <c r="AC590" s="41"/>
      <c r="AD590" s="41"/>
      <c r="AE590" s="41"/>
      <c r="AF590" s="41"/>
      <c r="AG590" s="41"/>
      <c r="AH590" s="44"/>
      <c r="AI590" s="44"/>
      <c r="AJ590" s="44"/>
    </row>
    <row r="591" spans="11:36" x14ac:dyDescent="0.2">
      <c r="K591" s="41"/>
      <c r="L591" s="41"/>
      <c r="M591" s="41"/>
      <c r="N591" s="41"/>
      <c r="O591" s="41"/>
      <c r="P591" s="44"/>
      <c r="Q591" s="44"/>
      <c r="R591" s="44"/>
      <c r="T591" s="41"/>
      <c r="U591" s="41"/>
      <c r="V591" s="41"/>
      <c r="W591" s="41"/>
      <c r="X591" s="41"/>
      <c r="Y591" s="44"/>
      <c r="Z591" s="44"/>
      <c r="AA591" s="44"/>
      <c r="AC591" s="41"/>
      <c r="AD591" s="41"/>
      <c r="AE591" s="41"/>
      <c r="AF591" s="41"/>
      <c r="AG591" s="41"/>
      <c r="AH591" s="44"/>
      <c r="AI591" s="44"/>
      <c r="AJ591" s="44"/>
    </row>
    <row r="592" spans="11:36" x14ac:dyDescent="0.2">
      <c r="K592" s="41"/>
      <c r="L592" s="41"/>
      <c r="M592" s="41"/>
      <c r="N592" s="41"/>
      <c r="O592" s="41"/>
      <c r="P592" s="44"/>
      <c r="Q592" s="44"/>
      <c r="R592" s="44"/>
      <c r="T592" s="41"/>
      <c r="U592" s="41"/>
      <c r="V592" s="41"/>
      <c r="W592" s="41"/>
      <c r="X592" s="41"/>
      <c r="Y592" s="44"/>
      <c r="Z592" s="44"/>
      <c r="AA592" s="44"/>
      <c r="AC592" s="41"/>
      <c r="AD592" s="41"/>
      <c r="AE592" s="41"/>
      <c r="AF592" s="41"/>
      <c r="AG592" s="41"/>
      <c r="AH592" s="44"/>
      <c r="AI592" s="44"/>
      <c r="AJ592" s="44"/>
    </row>
    <row r="593" spans="11:36" x14ac:dyDescent="0.2">
      <c r="K593" s="41"/>
      <c r="L593" s="41"/>
      <c r="M593" s="41"/>
      <c r="N593" s="41"/>
      <c r="O593" s="41"/>
      <c r="P593" s="44"/>
      <c r="Q593" s="44"/>
      <c r="R593" s="44"/>
      <c r="T593" s="41"/>
      <c r="U593" s="41"/>
      <c r="V593" s="41"/>
      <c r="W593" s="41"/>
      <c r="X593" s="41"/>
      <c r="Y593" s="44"/>
      <c r="Z593" s="44"/>
      <c r="AA593" s="44"/>
      <c r="AC593" s="41"/>
      <c r="AD593" s="41"/>
      <c r="AE593" s="41"/>
      <c r="AF593" s="41"/>
      <c r="AG593" s="41"/>
      <c r="AH593" s="44"/>
      <c r="AI593" s="44"/>
      <c r="AJ593" s="44"/>
    </row>
    <row r="594" spans="11:36" x14ac:dyDescent="0.2">
      <c r="K594" s="41"/>
      <c r="L594" s="41"/>
      <c r="M594" s="41"/>
      <c r="N594" s="41"/>
      <c r="O594" s="41"/>
      <c r="P594" s="44"/>
      <c r="Q594" s="44"/>
      <c r="R594" s="44"/>
      <c r="T594" s="41"/>
      <c r="U594" s="41"/>
      <c r="V594" s="41"/>
      <c r="W594" s="41"/>
      <c r="X594" s="41"/>
      <c r="Y594" s="44"/>
      <c r="Z594" s="44"/>
      <c r="AA594" s="44"/>
      <c r="AC594" s="41"/>
      <c r="AD594" s="41"/>
      <c r="AE594" s="41"/>
      <c r="AF594" s="41"/>
      <c r="AG594" s="41"/>
      <c r="AH594" s="44"/>
      <c r="AI594" s="44"/>
      <c r="AJ594" s="44"/>
    </row>
    <row r="595" spans="11:36" x14ac:dyDescent="0.2">
      <c r="K595" s="41"/>
      <c r="L595" s="41"/>
      <c r="M595" s="41"/>
      <c r="N595" s="41"/>
      <c r="O595" s="41"/>
      <c r="P595" s="44"/>
      <c r="Q595" s="44"/>
      <c r="R595" s="44"/>
      <c r="T595" s="41"/>
      <c r="U595" s="41"/>
      <c r="V595" s="41"/>
      <c r="W595" s="41"/>
      <c r="X595" s="41"/>
      <c r="Y595" s="44"/>
      <c r="Z595" s="44"/>
      <c r="AA595" s="44"/>
      <c r="AC595" s="41"/>
      <c r="AD595" s="41"/>
      <c r="AE595" s="41"/>
      <c r="AF595" s="41"/>
      <c r="AG595" s="41"/>
      <c r="AH595" s="44"/>
      <c r="AI595" s="44"/>
      <c r="AJ595" s="44"/>
    </row>
  </sheetData>
  <sheetProtection password="CC4B" sheet="1"/>
  <dataConsolidate/>
  <mergeCells count="39">
    <mergeCell ref="M20:O21"/>
    <mergeCell ref="K22:K23"/>
    <mergeCell ref="M22:M23"/>
    <mergeCell ref="N22:N23"/>
    <mergeCell ref="H22:H23"/>
    <mergeCell ref="B3:G3"/>
    <mergeCell ref="B10:B11"/>
    <mergeCell ref="B20:E21"/>
    <mergeCell ref="G20:I21"/>
    <mergeCell ref="C22:C23"/>
    <mergeCell ref="I82:I84"/>
    <mergeCell ref="K75:L76"/>
    <mergeCell ref="J20:L21"/>
    <mergeCell ref="G82:G84"/>
    <mergeCell ref="H82:H84"/>
    <mergeCell ref="K82:K84"/>
    <mergeCell ref="L82:L84"/>
    <mergeCell ref="G22:G23"/>
    <mergeCell ref="F82:F84"/>
    <mergeCell ref="B75:C76"/>
    <mergeCell ref="B82:B84"/>
    <mergeCell ref="D82:D84"/>
    <mergeCell ref="E82:E84"/>
    <mergeCell ref="C82:C84"/>
    <mergeCell ref="AA82:AA84"/>
    <mergeCell ref="T82:T84"/>
    <mergeCell ref="U82:U84"/>
    <mergeCell ref="V82:V84"/>
    <mergeCell ref="W82:W84"/>
    <mergeCell ref="Z82:Z84"/>
    <mergeCell ref="M82:M84"/>
    <mergeCell ref="T75:U76"/>
    <mergeCell ref="X82:X84"/>
    <mergeCell ref="Y82:Y84"/>
    <mergeCell ref="O82:O84"/>
    <mergeCell ref="P82:P84"/>
    <mergeCell ref="Q82:Q84"/>
    <mergeCell ref="R82:R84"/>
    <mergeCell ref="N82:N84"/>
  </mergeCells>
  <phoneticPr fontId="0" type="noConversion"/>
  <printOptions horizontalCentered="1" verticalCentered="1"/>
  <pageMargins left="0.75" right="0.75" top="1" bottom="1" header="0" footer="0"/>
  <pageSetup paperSize="9" scale="32" fitToHeight="3"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7"/>
  <dimension ref="B5:K184"/>
  <sheetViews>
    <sheetView topLeftCell="A10" workbookViewId="0">
      <selection activeCell="J14" sqref="J14"/>
    </sheetView>
  </sheetViews>
  <sheetFormatPr baseColWidth="10" defaultColWidth="9.140625" defaultRowHeight="12.75" x14ac:dyDescent="0.2"/>
  <cols>
    <col min="1" max="1" width="11.42578125" customWidth="1"/>
    <col min="2" max="2" width="20.5703125" customWidth="1"/>
    <col min="3" max="3" width="16" customWidth="1"/>
    <col min="4" max="7" width="13.7109375" customWidth="1"/>
    <col min="8" max="10" width="11.42578125" customWidth="1"/>
    <col min="11" max="11" width="13.140625" customWidth="1"/>
    <col min="12" max="12" width="12.28515625" customWidth="1"/>
    <col min="13" max="256" width="11.42578125" customWidth="1"/>
  </cols>
  <sheetData>
    <row r="5" spans="2:11" x14ac:dyDescent="0.2">
      <c r="B5" t="s">
        <v>649</v>
      </c>
      <c r="C5" s="63">
        <f>'Datos generales'!N10</f>
        <v>43831</v>
      </c>
    </row>
    <row r="6" spans="2:11" x14ac:dyDescent="0.2">
      <c r="C6" s="63"/>
    </row>
    <row r="10" spans="2:11" ht="13.5" thickBot="1" x14ac:dyDescent="0.25"/>
    <row r="11" spans="2:11" ht="48" customHeight="1" x14ac:dyDescent="0.2">
      <c r="B11" s="216" t="s">
        <v>654</v>
      </c>
      <c r="C11" s="216" t="str">
        <f>'Entrada Inver_Finan'!C119</f>
        <v>Deudas con socios a largo plazo</v>
      </c>
      <c r="D11" s="216" t="str">
        <f>'Entrada Inver_Finan'!C120</f>
        <v>Otros acreedores a largo plazo</v>
      </c>
      <c r="E11" s="216" t="str">
        <f>'Entrada Inver_Finan'!C136</f>
        <v>Deudas con socios a corto plazo.</v>
      </c>
      <c r="F11" s="1092" t="str">
        <f>'Entrada Inver_Finan'!C137</f>
        <v>Otros acreedores a corto plazo</v>
      </c>
      <c r="G11" s="1080" t="s">
        <v>655</v>
      </c>
      <c r="H11" s="1072">
        <f>'Entrada Inver_Finan'!C131</f>
        <v>0</v>
      </c>
      <c r="I11" s="216">
        <f>'Entrada Inver_Finan'!C132</f>
        <v>0</v>
      </c>
      <c r="J11" s="1076">
        <f>'Entrada Inver_Finan'!C133</f>
        <v>0</v>
      </c>
      <c r="K11" s="1080" t="s">
        <v>656</v>
      </c>
    </row>
    <row r="12" spans="2:11" x14ac:dyDescent="0.2">
      <c r="B12" s="109"/>
      <c r="C12" s="637"/>
      <c r="D12" s="109"/>
      <c r="E12" s="109"/>
      <c r="F12" s="156"/>
      <c r="G12" s="1081"/>
      <c r="H12" s="637"/>
      <c r="I12" s="109"/>
      <c r="J12" s="1073"/>
      <c r="K12" s="1081"/>
    </row>
    <row r="13" spans="2:11" x14ac:dyDescent="0.2">
      <c r="B13" s="109" t="s">
        <v>176</v>
      </c>
      <c r="C13" s="863">
        <f>'Entrada Inver_Finan'!D119</f>
        <v>0</v>
      </c>
      <c r="D13" s="60">
        <f>'Entrada Inver_Finan'!D120</f>
        <v>0</v>
      </c>
      <c r="E13" s="60">
        <f>'Entrada Inver_Finan'!D136</f>
        <v>0</v>
      </c>
      <c r="F13" s="302">
        <f>'Entrada Inver_Finan'!D137</f>
        <v>0</v>
      </c>
      <c r="G13" s="1082">
        <f>SUM(C13:F13)</f>
        <v>0</v>
      </c>
      <c r="H13" s="1078">
        <f>'Entrada Inver_Finan'!D131+'Entrada Inver_Finan'!D131*'Datos generales'!D16</f>
        <v>0</v>
      </c>
      <c r="I13" s="60">
        <f>'Entrada Inver_Finan'!D132+'Entrada Inver_Finan'!D132*'Datos generales'!D16</f>
        <v>0</v>
      </c>
      <c r="J13" s="376">
        <f>'Entrada Inver_Finan'!D133+'Entrada Inver_Finan'!D133*'Datos generales'!D16</f>
        <v>0</v>
      </c>
      <c r="K13" s="1082">
        <f>SUM(H13:J13)</f>
        <v>0</v>
      </c>
    </row>
    <row r="14" spans="2:11" x14ac:dyDescent="0.2">
      <c r="B14" s="109" t="s">
        <v>657</v>
      </c>
      <c r="C14" s="637">
        <f>'Entrada Inver_Finan'!E119*12</f>
        <v>0</v>
      </c>
      <c r="D14" s="109">
        <f>'Entrada Inver_Finan'!E120*12</f>
        <v>0</v>
      </c>
      <c r="E14" s="109">
        <f>'Entrada Inver_Finan'!E136</f>
        <v>0</v>
      </c>
      <c r="F14" s="156">
        <f>'Entrada Inver_Finan'!E137</f>
        <v>0</v>
      </c>
      <c r="G14" s="1081"/>
      <c r="H14" s="637">
        <f>'Entrada Inver_Finan'!E131</f>
        <v>0</v>
      </c>
      <c r="I14" s="109">
        <f>'Entrada Inver_Finan'!E132</f>
        <v>0</v>
      </c>
      <c r="J14" s="1073">
        <f>'Entrada Inver_Finan'!E133</f>
        <v>0</v>
      </c>
      <c r="K14" s="1081"/>
    </row>
    <row r="15" spans="2:11" x14ac:dyDescent="0.2">
      <c r="B15" s="109" t="s">
        <v>658</v>
      </c>
      <c r="C15" s="637">
        <f>'Entrada Inver_Finan'!E119*'Entrada Inver_Finan'!F119</f>
        <v>0</v>
      </c>
      <c r="D15" s="109">
        <f>IF('Entrada Inver_Finan'!E120*'Entrada Inver_Finan'!F120=0,1,'Entrada Inver_Finan'!E120*'Entrada Inver_Finan'!F120)</f>
        <v>1</v>
      </c>
      <c r="E15" s="109"/>
      <c r="F15" s="156"/>
      <c r="G15" s="1081"/>
      <c r="H15" s="637"/>
      <c r="I15" s="109"/>
      <c r="J15" s="1073"/>
      <c r="K15" s="1081"/>
    </row>
    <row r="16" spans="2:11" x14ac:dyDescent="0.2">
      <c r="B16" s="109" t="s">
        <v>659</v>
      </c>
      <c r="C16" s="863">
        <f>'Entrada Inver_Finan'!F119</f>
        <v>0</v>
      </c>
      <c r="D16" s="60">
        <f>'Entrada Inver_Finan'!F120</f>
        <v>0</v>
      </c>
      <c r="E16" s="109"/>
      <c r="F16" s="156"/>
      <c r="G16" s="1081"/>
      <c r="H16" s="637"/>
      <c r="I16" s="109"/>
      <c r="J16" s="1073"/>
      <c r="K16" s="1081"/>
    </row>
    <row r="17" spans="2:11" x14ac:dyDescent="0.2">
      <c r="B17" s="109" t="s">
        <v>660</v>
      </c>
      <c r="C17" s="637" t="e">
        <f>C13/C15</f>
        <v>#DIV/0!</v>
      </c>
      <c r="D17" s="109">
        <f>D13/D15</f>
        <v>0</v>
      </c>
      <c r="E17" s="109"/>
      <c r="F17" s="156"/>
      <c r="G17" s="1081"/>
      <c r="H17" s="637"/>
      <c r="I17" s="109"/>
      <c r="J17" s="1073"/>
      <c r="K17" s="1081"/>
    </row>
    <row r="18" spans="2:11" x14ac:dyDescent="0.2">
      <c r="B18" s="109" t="s">
        <v>265</v>
      </c>
      <c r="C18" s="1096" t="str">
        <f>IF('Entrada Inver_Finan'!G119=C5,"Inicial",DATE(YEAR('Entrada Inver_Finan'!G119),MONTH('Entrada Inver_Finan'!G119),DAY(1)))</f>
        <v>Inicial</v>
      </c>
      <c r="D18" s="1093" t="str">
        <f>IF('Entrada Inver_Finan'!G120=C5,"Inicial",DATE(YEAR('Entrada Inver_Finan'!G120),MONTH('Entrada Inver_Finan'!G120),DAY(1)))</f>
        <v>Inicial</v>
      </c>
      <c r="E18" s="109"/>
      <c r="F18" s="156"/>
      <c r="G18" s="1081"/>
      <c r="H18" s="637"/>
      <c r="I18" s="109"/>
      <c r="J18" s="1073"/>
      <c r="K18" s="1081"/>
    </row>
    <row r="19" spans="2:11" x14ac:dyDescent="0.2">
      <c r="B19" s="109" t="s">
        <v>661</v>
      </c>
      <c r="C19" s="1096">
        <f>DATE(YEAR('Entrada Inver_Finan'!H119),MONTH('Entrada Inver_Finan'!H119),DAY(1))</f>
        <v>43831</v>
      </c>
      <c r="D19" s="1093">
        <f>DATE(YEAR('Entrada Inver_Finan'!H120),MONTH('Entrada Inver_Finan'!H120),DAY(1))</f>
        <v>43831</v>
      </c>
      <c r="E19" s="109"/>
      <c r="F19" s="156"/>
      <c r="G19" s="1081"/>
      <c r="H19" s="637"/>
      <c r="I19" s="109"/>
      <c r="J19" s="1073"/>
      <c r="K19" s="1081"/>
    </row>
    <row r="20" spans="2:11" x14ac:dyDescent="0.2">
      <c r="B20" s="109" t="s">
        <v>662</v>
      </c>
      <c r="C20" s="1075">
        <f>DATE(YEAR($C$5),MONTH($C$5)+C14,DAY(1))</f>
        <v>43831</v>
      </c>
      <c r="D20" s="1094">
        <f>DATE(YEAR($C$5),MONTH($C$5)+D14,DAY(1))</f>
        <v>43831</v>
      </c>
      <c r="E20" s="1094">
        <f>DATE(YEAR($C$5),MONTH($C$5)+E14,DAY(1))</f>
        <v>43831</v>
      </c>
      <c r="F20" s="1077">
        <f>DATE(YEAR($C$5),MONTH($C$5)+F14,DAY(1))</f>
        <v>43831</v>
      </c>
      <c r="G20" s="1081"/>
      <c r="H20" s="1075">
        <f>DATE(YEAR($C$5),MONTH($C$5)+H14,DAY(1))</f>
        <v>43831</v>
      </c>
      <c r="I20" s="1075">
        <f>DATE(YEAR($C$5),MONTH($C$5)+I14,DAY(1))</f>
        <v>43831</v>
      </c>
      <c r="J20" s="1077">
        <f>DATE(YEAR($C$5),MONTH($C$5)+J14,DAY(1))</f>
        <v>43831</v>
      </c>
      <c r="K20" s="1100"/>
    </row>
    <row r="21" spans="2:11" x14ac:dyDescent="0.2">
      <c r="B21" s="109" t="s">
        <v>663</v>
      </c>
      <c r="C21" s="863">
        <f>IF(C18="Inicial",C13,0)</f>
        <v>0</v>
      </c>
      <c r="D21" s="60">
        <f>IF(D18="Inicial",D13,0)</f>
        <v>0</v>
      </c>
      <c r="E21" s="1094"/>
      <c r="F21" s="1077"/>
      <c r="G21" s="1081"/>
      <c r="H21" s="1075"/>
      <c r="I21" s="1075"/>
      <c r="J21" s="1077"/>
      <c r="K21" s="1100"/>
    </row>
    <row r="22" spans="2:11" x14ac:dyDescent="0.2">
      <c r="B22" s="109" t="s">
        <v>664</v>
      </c>
      <c r="C22" s="1097">
        <f>SUM(C33:C44)</f>
        <v>0</v>
      </c>
      <c r="D22" s="37">
        <f>SUM(D33:D44)</f>
        <v>0</v>
      </c>
      <c r="E22" s="36">
        <f>SUM(E33:E44)</f>
        <v>0</v>
      </c>
      <c r="F22" s="501">
        <f>SUM(F33:F44)</f>
        <v>0</v>
      </c>
      <c r="G22" s="1090">
        <f t="shared" ref="G22:G29" si="0">SUM(C22:F22)</f>
        <v>0</v>
      </c>
      <c r="H22" s="1074"/>
      <c r="I22" s="217"/>
      <c r="J22" s="1099"/>
      <c r="K22" s="1100"/>
    </row>
    <row r="23" spans="2:11" x14ac:dyDescent="0.2">
      <c r="B23" s="109" t="s">
        <v>665</v>
      </c>
      <c r="C23" s="1097">
        <f>SUM(C45:C56)</f>
        <v>0</v>
      </c>
      <c r="D23" s="37">
        <f>SUM(D45:D56)</f>
        <v>0</v>
      </c>
      <c r="E23" s="36">
        <f>SUM(E45:E56)</f>
        <v>0</v>
      </c>
      <c r="F23" s="501">
        <f>SUM(F45:F56)</f>
        <v>0</v>
      </c>
      <c r="G23" s="1090">
        <f t="shared" si="0"/>
        <v>0</v>
      </c>
      <c r="H23" s="1074"/>
      <c r="I23" s="217"/>
      <c r="J23" s="1099"/>
      <c r="K23" s="1100"/>
    </row>
    <row r="24" spans="2:11" x14ac:dyDescent="0.2">
      <c r="B24" s="109" t="s">
        <v>666</v>
      </c>
      <c r="C24" s="1097">
        <f>SUM(C57:C68)</f>
        <v>0</v>
      </c>
      <c r="D24" s="37">
        <f>SUM(D57:D68)</f>
        <v>0</v>
      </c>
      <c r="E24" s="36">
        <f>SUM(E57:E68)</f>
        <v>0</v>
      </c>
      <c r="F24" s="501">
        <f>SUM(F57:F68)</f>
        <v>0</v>
      </c>
      <c r="G24" s="1090">
        <f t="shared" si="0"/>
        <v>0</v>
      </c>
      <c r="H24" s="1074"/>
      <c r="I24" s="217"/>
      <c r="J24" s="1099"/>
      <c r="K24" s="1100"/>
    </row>
    <row r="25" spans="2:11" x14ac:dyDescent="0.2">
      <c r="B25" s="109" t="s">
        <v>667</v>
      </c>
      <c r="C25" s="1097">
        <f>SUM(C69:C80)</f>
        <v>0</v>
      </c>
      <c r="D25" s="37">
        <f>SUM(D69:D80)</f>
        <v>0</v>
      </c>
      <c r="E25" s="36">
        <f>SUM(E69:E80)</f>
        <v>0</v>
      </c>
      <c r="F25" s="501">
        <f>SUM(F69:F80)</f>
        <v>0</v>
      </c>
      <c r="G25" s="1090">
        <f t="shared" si="0"/>
        <v>0</v>
      </c>
      <c r="H25" s="1074"/>
      <c r="I25" s="217"/>
      <c r="J25" s="1099"/>
      <c r="K25" s="1100"/>
    </row>
    <row r="26" spans="2:11" x14ac:dyDescent="0.2">
      <c r="B26" s="109" t="s">
        <v>668</v>
      </c>
      <c r="C26" s="501">
        <f>SUM(C84:C95)</f>
        <v>0</v>
      </c>
      <c r="D26" s="36">
        <f>SUM(D84:D95)</f>
        <v>0</v>
      </c>
      <c r="E26" s="36">
        <f>SUM(E84:E95)</f>
        <v>0</v>
      </c>
      <c r="F26" s="289">
        <f>SUM(F84:F95)</f>
        <v>0</v>
      </c>
      <c r="G26" s="1090">
        <f t="shared" si="0"/>
        <v>0</v>
      </c>
      <c r="H26" s="639">
        <f>SUM(H84:H95)</f>
        <v>0</v>
      </c>
      <c r="I26" s="70">
        <f>SUM(I84:I95)</f>
        <v>0</v>
      </c>
      <c r="J26" s="935">
        <f>SUM(J84:J95)</f>
        <v>0</v>
      </c>
      <c r="K26" s="1082">
        <f>SUM(H26:J26)</f>
        <v>0</v>
      </c>
    </row>
    <row r="27" spans="2:11" x14ac:dyDescent="0.2">
      <c r="B27" s="109" t="s">
        <v>669</v>
      </c>
      <c r="C27" s="501">
        <f>SUM(C96:C107)</f>
        <v>0</v>
      </c>
      <c r="D27" s="36">
        <f>SUM(D96:D107)</f>
        <v>0</v>
      </c>
      <c r="E27" s="36">
        <f>SUM(E96:E107)</f>
        <v>0</v>
      </c>
      <c r="F27" s="289">
        <f>SUM(F96:F107)</f>
        <v>0</v>
      </c>
      <c r="G27" s="1090">
        <f t="shared" si="0"/>
        <v>0</v>
      </c>
      <c r="H27" s="639">
        <f>SUM(H96:H107)</f>
        <v>0</v>
      </c>
      <c r="I27" s="70">
        <f>SUM(I96:I107)</f>
        <v>0</v>
      </c>
      <c r="J27" s="935">
        <f>SUM(J96:J107)</f>
        <v>0</v>
      </c>
      <c r="K27" s="1082">
        <f>SUM(H27:J27)</f>
        <v>0</v>
      </c>
    </row>
    <row r="28" spans="2:11" ht="13.5" thickBot="1" x14ac:dyDescent="0.25">
      <c r="B28" s="109" t="s">
        <v>670</v>
      </c>
      <c r="C28" s="501">
        <f>SUM(C108:C119)</f>
        <v>0</v>
      </c>
      <c r="D28" s="36">
        <f>SUM(D108:D119)</f>
        <v>0</v>
      </c>
      <c r="E28" s="36">
        <f>SUM(E108:E119)</f>
        <v>0</v>
      </c>
      <c r="F28" s="289">
        <f>SUM(F108:F119)</f>
        <v>0</v>
      </c>
      <c r="G28" s="1091">
        <f t="shared" si="0"/>
        <v>0</v>
      </c>
      <c r="H28" s="639">
        <f>SUM(H108:H119)</f>
        <v>0</v>
      </c>
      <c r="I28" s="70">
        <f>SUM(I108:I119)</f>
        <v>0</v>
      </c>
      <c r="J28" s="935">
        <f>SUM(J108:J119)</f>
        <v>0</v>
      </c>
      <c r="K28" s="1101">
        <f>SUM(H28:J28)</f>
        <v>0</v>
      </c>
    </row>
    <row r="29" spans="2:11" ht="13.5" thickBot="1" x14ac:dyDescent="0.25">
      <c r="B29" s="109" t="s">
        <v>671</v>
      </c>
      <c r="C29" s="501">
        <f>SUM(C120:C131)</f>
        <v>0</v>
      </c>
      <c r="D29" s="36">
        <f>SUM(D120:D131)</f>
        <v>0</v>
      </c>
      <c r="E29" s="36">
        <f>SUM(E120:E131)</f>
        <v>0</v>
      </c>
      <c r="F29" s="656">
        <f>SUM(F120:F131)</f>
        <v>0</v>
      </c>
      <c r="G29" s="1095">
        <f t="shared" si="0"/>
        <v>0</v>
      </c>
      <c r="H29" s="61"/>
      <c r="I29" s="61"/>
      <c r="J29" s="61"/>
      <c r="K29" s="58"/>
    </row>
    <row r="30" spans="2:11" x14ac:dyDescent="0.2">
      <c r="C30" s="61"/>
      <c r="D30" s="61"/>
      <c r="E30" s="61"/>
      <c r="F30" s="61"/>
      <c r="G30" s="61"/>
      <c r="H30" s="61"/>
      <c r="I30" s="61"/>
      <c r="J30" s="61"/>
      <c r="K30" s="58"/>
    </row>
    <row r="31" spans="2:11" x14ac:dyDescent="0.2">
      <c r="B31" s="1" t="s">
        <v>672</v>
      </c>
      <c r="C31" s="61"/>
      <c r="D31" s="61"/>
      <c r="E31" s="61"/>
      <c r="F31" s="61"/>
      <c r="G31" s="61"/>
      <c r="H31" s="61"/>
      <c r="I31" s="61"/>
      <c r="J31" s="61"/>
      <c r="K31" s="58"/>
    </row>
    <row r="32" spans="2:11" ht="13.5" thickBot="1" x14ac:dyDescent="0.25">
      <c r="B32" s="1102" t="s">
        <v>152</v>
      </c>
      <c r="C32" s="70"/>
      <c r="D32" s="70"/>
      <c r="E32" s="61"/>
      <c r="F32" s="61"/>
      <c r="G32" s="61"/>
      <c r="H32" s="61"/>
      <c r="I32" s="61"/>
      <c r="J32" s="61"/>
      <c r="K32" s="58"/>
    </row>
    <row r="33" spans="2:11" x14ac:dyDescent="0.2">
      <c r="B33" s="1085">
        <f>DATE(YEAR(C5),MONTH(1),DAY(1))</f>
        <v>43831</v>
      </c>
      <c r="C33" s="36">
        <f>IF(B33=$C$18,$C$13,0)</f>
        <v>0</v>
      </c>
      <c r="D33" s="36">
        <f>IF(B33=$D$18,$D$13,0)</f>
        <v>0</v>
      </c>
      <c r="E33" s="61"/>
      <c r="F33" s="61"/>
      <c r="G33" s="1103">
        <f t="shared" ref="G33:G80" si="1">SUM(C33:F33)</f>
        <v>0</v>
      </c>
      <c r="H33" s="61"/>
      <c r="I33" s="61"/>
      <c r="J33" s="61"/>
      <c r="K33" s="58"/>
    </row>
    <row r="34" spans="2:11" x14ac:dyDescent="0.2">
      <c r="B34" s="1085">
        <f>DATE(YEAR(B33),MONTH(B33)+1,DAY(B33))</f>
        <v>43862</v>
      </c>
      <c r="C34" s="36">
        <f t="shared" ref="C34:C80" si="2">IF(B34=$C$18,$C$13,0)</f>
        <v>0</v>
      </c>
      <c r="D34" s="36">
        <f t="shared" ref="D34:D80" si="3">IF(B34=$D$18,$D$13,0)</f>
        <v>0</v>
      </c>
      <c r="E34" s="61"/>
      <c r="F34" s="61"/>
      <c r="G34" s="1082">
        <f t="shared" si="1"/>
        <v>0</v>
      </c>
      <c r="H34" s="61"/>
      <c r="I34" s="61"/>
      <c r="J34" s="61"/>
      <c r="K34" s="58"/>
    </row>
    <row r="35" spans="2:11" x14ac:dyDescent="0.2">
      <c r="B35" s="1085">
        <f t="shared" ref="B35:B80" si="4">DATE(YEAR(B34),MONTH(B34)+1,DAY(B34))</f>
        <v>43891</v>
      </c>
      <c r="C35" s="36">
        <f t="shared" si="2"/>
        <v>0</v>
      </c>
      <c r="D35" s="36">
        <f t="shared" si="3"/>
        <v>0</v>
      </c>
      <c r="E35" s="61"/>
      <c r="F35" s="61"/>
      <c r="G35" s="1082">
        <f t="shared" si="1"/>
        <v>0</v>
      </c>
      <c r="H35" s="61"/>
      <c r="I35" s="61"/>
      <c r="J35" s="61"/>
      <c r="K35" s="58"/>
    </row>
    <row r="36" spans="2:11" x14ac:dyDescent="0.2">
      <c r="B36" s="1085">
        <f t="shared" si="4"/>
        <v>43922</v>
      </c>
      <c r="C36" s="36">
        <f t="shared" si="2"/>
        <v>0</v>
      </c>
      <c r="D36" s="36">
        <f t="shared" si="3"/>
        <v>0</v>
      </c>
      <c r="E36" s="61"/>
      <c r="F36" s="61"/>
      <c r="G36" s="1082">
        <f t="shared" si="1"/>
        <v>0</v>
      </c>
      <c r="H36" s="61"/>
      <c r="I36" s="61"/>
      <c r="J36" s="61"/>
      <c r="K36" s="58"/>
    </row>
    <row r="37" spans="2:11" x14ac:dyDescent="0.2">
      <c r="B37" s="1085">
        <f t="shared" si="4"/>
        <v>43952</v>
      </c>
      <c r="C37" s="36">
        <f t="shared" si="2"/>
        <v>0</v>
      </c>
      <c r="D37" s="36">
        <f t="shared" si="3"/>
        <v>0</v>
      </c>
      <c r="E37" s="61"/>
      <c r="F37" s="61"/>
      <c r="G37" s="1082">
        <f t="shared" si="1"/>
        <v>0</v>
      </c>
      <c r="H37" s="61"/>
      <c r="I37" s="61"/>
      <c r="J37" s="61"/>
      <c r="K37" s="58"/>
    </row>
    <row r="38" spans="2:11" x14ac:dyDescent="0.2">
      <c r="B38" s="1085">
        <f t="shared" si="4"/>
        <v>43983</v>
      </c>
      <c r="C38" s="36">
        <f t="shared" si="2"/>
        <v>0</v>
      </c>
      <c r="D38" s="36">
        <f t="shared" si="3"/>
        <v>0</v>
      </c>
      <c r="E38" s="61"/>
      <c r="F38" s="61"/>
      <c r="G38" s="1082">
        <f t="shared" si="1"/>
        <v>0</v>
      </c>
      <c r="H38" s="61"/>
      <c r="I38" s="61"/>
      <c r="J38" s="61"/>
      <c r="K38" s="58"/>
    </row>
    <row r="39" spans="2:11" x14ac:dyDescent="0.2">
      <c r="B39" s="1085">
        <f t="shared" si="4"/>
        <v>44013</v>
      </c>
      <c r="C39" s="36">
        <f t="shared" si="2"/>
        <v>0</v>
      </c>
      <c r="D39" s="36">
        <f t="shared" si="3"/>
        <v>0</v>
      </c>
      <c r="E39" s="61"/>
      <c r="F39" s="61"/>
      <c r="G39" s="1082">
        <f t="shared" si="1"/>
        <v>0</v>
      </c>
      <c r="H39" s="61"/>
      <c r="I39" s="61"/>
      <c r="J39" s="61"/>
      <c r="K39" s="58"/>
    </row>
    <row r="40" spans="2:11" x14ac:dyDescent="0.2">
      <c r="B40" s="1085">
        <f t="shared" si="4"/>
        <v>44044</v>
      </c>
      <c r="C40" s="36">
        <f t="shared" si="2"/>
        <v>0</v>
      </c>
      <c r="D40" s="36">
        <f t="shared" si="3"/>
        <v>0</v>
      </c>
      <c r="E40" s="61"/>
      <c r="F40" s="61"/>
      <c r="G40" s="1082">
        <f t="shared" si="1"/>
        <v>0</v>
      </c>
      <c r="H40" s="61"/>
      <c r="I40" s="61"/>
      <c r="J40" s="61"/>
      <c r="K40" s="58"/>
    </row>
    <row r="41" spans="2:11" x14ac:dyDescent="0.2">
      <c r="B41" s="1085">
        <f t="shared" si="4"/>
        <v>44075</v>
      </c>
      <c r="C41" s="36">
        <f t="shared" si="2"/>
        <v>0</v>
      </c>
      <c r="D41" s="36">
        <f t="shared" si="3"/>
        <v>0</v>
      </c>
      <c r="E41" s="61"/>
      <c r="F41" s="61"/>
      <c r="G41" s="1082">
        <f t="shared" si="1"/>
        <v>0</v>
      </c>
      <c r="H41" s="61"/>
      <c r="I41" s="61"/>
      <c r="J41" s="61"/>
      <c r="K41" s="58"/>
    </row>
    <row r="42" spans="2:11" x14ac:dyDescent="0.2">
      <c r="B42" s="1085">
        <f t="shared" si="4"/>
        <v>44105</v>
      </c>
      <c r="C42" s="36">
        <f t="shared" si="2"/>
        <v>0</v>
      </c>
      <c r="D42" s="36">
        <f t="shared" si="3"/>
        <v>0</v>
      </c>
      <c r="E42" s="61"/>
      <c r="F42" s="61"/>
      <c r="G42" s="1082">
        <f t="shared" si="1"/>
        <v>0</v>
      </c>
      <c r="H42" s="61"/>
      <c r="I42" s="61"/>
      <c r="J42" s="61"/>
      <c r="K42" s="58"/>
    </row>
    <row r="43" spans="2:11" x14ac:dyDescent="0.2">
      <c r="B43" s="1085">
        <f t="shared" si="4"/>
        <v>44136</v>
      </c>
      <c r="C43" s="36">
        <f t="shared" si="2"/>
        <v>0</v>
      </c>
      <c r="D43" s="36">
        <f t="shared" si="3"/>
        <v>0</v>
      </c>
      <c r="E43" s="61"/>
      <c r="F43" s="61"/>
      <c r="G43" s="1082">
        <f t="shared" si="1"/>
        <v>0</v>
      </c>
      <c r="H43" s="61"/>
      <c r="I43" s="61"/>
      <c r="J43" s="61"/>
      <c r="K43" s="58"/>
    </row>
    <row r="44" spans="2:11" x14ac:dyDescent="0.2">
      <c r="B44" s="1086">
        <f t="shared" si="4"/>
        <v>44166</v>
      </c>
      <c r="C44" s="1087">
        <f t="shared" si="2"/>
        <v>0</v>
      </c>
      <c r="D44" s="1087">
        <f t="shared" si="3"/>
        <v>0</v>
      </c>
      <c r="E44" s="61"/>
      <c r="F44" s="61"/>
      <c r="G44" s="1089">
        <f t="shared" si="1"/>
        <v>0</v>
      </c>
      <c r="H44" s="61"/>
      <c r="I44" s="61"/>
      <c r="J44" s="61"/>
      <c r="K44" s="58"/>
    </row>
    <row r="45" spans="2:11" x14ac:dyDescent="0.2">
      <c r="B45" s="1085">
        <f t="shared" si="4"/>
        <v>44197</v>
      </c>
      <c r="C45" s="36">
        <f t="shared" si="2"/>
        <v>0</v>
      </c>
      <c r="D45" s="36">
        <f t="shared" si="3"/>
        <v>0</v>
      </c>
      <c r="E45" s="61"/>
      <c r="F45" s="61"/>
      <c r="G45" s="1082">
        <f t="shared" si="1"/>
        <v>0</v>
      </c>
      <c r="H45" s="61"/>
      <c r="I45" s="61"/>
      <c r="J45" s="61"/>
      <c r="K45" s="58"/>
    </row>
    <row r="46" spans="2:11" x14ac:dyDescent="0.2">
      <c r="B46" s="1085">
        <f t="shared" si="4"/>
        <v>44228</v>
      </c>
      <c r="C46" s="36">
        <f t="shared" si="2"/>
        <v>0</v>
      </c>
      <c r="D46" s="36">
        <f t="shared" si="3"/>
        <v>0</v>
      </c>
      <c r="E46" s="61"/>
      <c r="F46" s="61"/>
      <c r="G46" s="1082">
        <f t="shared" si="1"/>
        <v>0</v>
      </c>
      <c r="H46" s="61"/>
      <c r="I46" s="61"/>
      <c r="J46" s="61"/>
      <c r="K46" s="58"/>
    </row>
    <row r="47" spans="2:11" x14ac:dyDescent="0.2">
      <c r="B47" s="1085">
        <f t="shared" si="4"/>
        <v>44256</v>
      </c>
      <c r="C47" s="36">
        <f t="shared" si="2"/>
        <v>0</v>
      </c>
      <c r="D47" s="36">
        <f t="shared" si="3"/>
        <v>0</v>
      </c>
      <c r="E47" s="61"/>
      <c r="F47" s="61"/>
      <c r="G47" s="1082">
        <f t="shared" si="1"/>
        <v>0</v>
      </c>
      <c r="H47" s="61"/>
      <c r="I47" s="61"/>
      <c r="J47" s="61"/>
      <c r="K47" s="58"/>
    </row>
    <row r="48" spans="2:11" x14ac:dyDescent="0.2">
      <c r="B48" s="1085">
        <f t="shared" si="4"/>
        <v>44287</v>
      </c>
      <c r="C48" s="36">
        <f t="shared" si="2"/>
        <v>0</v>
      </c>
      <c r="D48" s="36">
        <f t="shared" si="3"/>
        <v>0</v>
      </c>
      <c r="E48" s="61"/>
      <c r="F48" s="61"/>
      <c r="G48" s="1082">
        <f t="shared" si="1"/>
        <v>0</v>
      </c>
      <c r="H48" s="61"/>
      <c r="I48" s="61"/>
      <c r="J48" s="61"/>
      <c r="K48" s="58"/>
    </row>
    <row r="49" spans="2:11" x14ac:dyDescent="0.2">
      <c r="B49" s="1085">
        <f t="shared" si="4"/>
        <v>44317</v>
      </c>
      <c r="C49" s="36">
        <f t="shared" si="2"/>
        <v>0</v>
      </c>
      <c r="D49" s="36">
        <f t="shared" si="3"/>
        <v>0</v>
      </c>
      <c r="E49" s="61"/>
      <c r="F49" s="61"/>
      <c r="G49" s="1082">
        <f t="shared" si="1"/>
        <v>0</v>
      </c>
      <c r="H49" s="61"/>
      <c r="I49" s="61"/>
      <c r="J49" s="61"/>
      <c r="K49" s="58"/>
    </row>
    <row r="50" spans="2:11" x14ac:dyDescent="0.2">
      <c r="B50" s="1085">
        <f t="shared" si="4"/>
        <v>44348</v>
      </c>
      <c r="C50" s="36">
        <f t="shared" si="2"/>
        <v>0</v>
      </c>
      <c r="D50" s="36">
        <f t="shared" si="3"/>
        <v>0</v>
      </c>
      <c r="E50" s="61"/>
      <c r="F50" s="61"/>
      <c r="G50" s="1082">
        <f t="shared" si="1"/>
        <v>0</v>
      </c>
      <c r="H50" s="61"/>
      <c r="I50" s="61"/>
      <c r="J50" s="61"/>
      <c r="K50" s="58"/>
    </row>
    <row r="51" spans="2:11" x14ac:dyDescent="0.2">
      <c r="B51" s="1085">
        <f t="shared" si="4"/>
        <v>44378</v>
      </c>
      <c r="C51" s="36">
        <f t="shared" si="2"/>
        <v>0</v>
      </c>
      <c r="D51" s="36">
        <f t="shared" si="3"/>
        <v>0</v>
      </c>
      <c r="E51" s="61"/>
      <c r="F51" s="61"/>
      <c r="G51" s="1082">
        <f t="shared" si="1"/>
        <v>0</v>
      </c>
      <c r="H51" s="61"/>
      <c r="I51" s="61"/>
      <c r="J51" s="61"/>
      <c r="K51" s="58"/>
    </row>
    <row r="52" spans="2:11" x14ac:dyDescent="0.2">
      <c r="B52" s="1085">
        <f t="shared" si="4"/>
        <v>44409</v>
      </c>
      <c r="C52" s="36">
        <f t="shared" si="2"/>
        <v>0</v>
      </c>
      <c r="D52" s="36">
        <f t="shared" si="3"/>
        <v>0</v>
      </c>
      <c r="E52" s="61"/>
      <c r="F52" s="61"/>
      <c r="G52" s="1082">
        <f t="shared" si="1"/>
        <v>0</v>
      </c>
      <c r="H52" s="61"/>
      <c r="I52" s="61"/>
      <c r="J52" s="61"/>
      <c r="K52" s="58"/>
    </row>
    <row r="53" spans="2:11" x14ac:dyDescent="0.2">
      <c r="B53" s="1085">
        <f t="shared" si="4"/>
        <v>44440</v>
      </c>
      <c r="C53" s="36">
        <f t="shared" si="2"/>
        <v>0</v>
      </c>
      <c r="D53" s="36">
        <f t="shared" si="3"/>
        <v>0</v>
      </c>
      <c r="E53" s="61"/>
      <c r="F53" s="61"/>
      <c r="G53" s="1082">
        <f t="shared" si="1"/>
        <v>0</v>
      </c>
      <c r="H53" s="61"/>
      <c r="I53" s="61"/>
      <c r="J53" s="61"/>
      <c r="K53" s="58"/>
    </row>
    <row r="54" spans="2:11" x14ac:dyDescent="0.2">
      <c r="B54" s="1085">
        <f t="shared" si="4"/>
        <v>44470</v>
      </c>
      <c r="C54" s="36">
        <f t="shared" si="2"/>
        <v>0</v>
      </c>
      <c r="D54" s="36">
        <f t="shared" si="3"/>
        <v>0</v>
      </c>
      <c r="E54" s="61"/>
      <c r="F54" s="61"/>
      <c r="G54" s="1082">
        <f t="shared" si="1"/>
        <v>0</v>
      </c>
      <c r="H54" s="61"/>
      <c r="I54" s="61"/>
      <c r="J54" s="61"/>
      <c r="K54" s="58"/>
    </row>
    <row r="55" spans="2:11" x14ac:dyDescent="0.2">
      <c r="B55" s="1085">
        <f t="shared" si="4"/>
        <v>44501</v>
      </c>
      <c r="C55" s="36">
        <f t="shared" si="2"/>
        <v>0</v>
      </c>
      <c r="D55" s="36">
        <f t="shared" si="3"/>
        <v>0</v>
      </c>
      <c r="E55" s="61"/>
      <c r="F55" s="61"/>
      <c r="G55" s="1082">
        <f t="shared" si="1"/>
        <v>0</v>
      </c>
      <c r="H55" s="61"/>
      <c r="I55" s="61"/>
      <c r="J55" s="61"/>
      <c r="K55" s="58"/>
    </row>
    <row r="56" spans="2:11" x14ac:dyDescent="0.2">
      <c r="B56" s="1086">
        <f t="shared" si="4"/>
        <v>44531</v>
      </c>
      <c r="C56" s="1087">
        <f t="shared" si="2"/>
        <v>0</v>
      </c>
      <c r="D56" s="1087">
        <f t="shared" si="3"/>
        <v>0</v>
      </c>
      <c r="E56" s="61"/>
      <c r="F56" s="61"/>
      <c r="G56" s="1089">
        <f t="shared" si="1"/>
        <v>0</v>
      </c>
      <c r="H56" s="61"/>
      <c r="I56" s="61"/>
      <c r="J56" s="61"/>
      <c r="K56" s="58"/>
    </row>
    <row r="57" spans="2:11" x14ac:dyDescent="0.2">
      <c r="B57" s="1085">
        <f t="shared" si="4"/>
        <v>44562</v>
      </c>
      <c r="C57" s="36">
        <f t="shared" si="2"/>
        <v>0</v>
      </c>
      <c r="D57" s="36">
        <f t="shared" si="3"/>
        <v>0</v>
      </c>
      <c r="E57" s="61"/>
      <c r="F57" s="61"/>
      <c r="G57" s="1082">
        <f t="shared" si="1"/>
        <v>0</v>
      </c>
      <c r="H57" s="61"/>
      <c r="I57" s="61"/>
      <c r="J57" s="61"/>
      <c r="K57" s="58"/>
    </row>
    <row r="58" spans="2:11" x14ac:dyDescent="0.2">
      <c r="B58" s="1085">
        <f t="shared" si="4"/>
        <v>44593</v>
      </c>
      <c r="C58" s="36">
        <f t="shared" si="2"/>
        <v>0</v>
      </c>
      <c r="D58" s="36">
        <f t="shared" si="3"/>
        <v>0</v>
      </c>
      <c r="E58" s="61"/>
      <c r="F58" s="61"/>
      <c r="G58" s="1082">
        <f t="shared" si="1"/>
        <v>0</v>
      </c>
      <c r="H58" s="61"/>
      <c r="I58" s="61"/>
      <c r="J58" s="61"/>
      <c r="K58" s="58"/>
    </row>
    <row r="59" spans="2:11" x14ac:dyDescent="0.2">
      <c r="B59" s="1085">
        <f t="shared" si="4"/>
        <v>44621</v>
      </c>
      <c r="C59" s="36">
        <f t="shared" si="2"/>
        <v>0</v>
      </c>
      <c r="D59" s="36">
        <f t="shared" si="3"/>
        <v>0</v>
      </c>
      <c r="E59" s="61"/>
      <c r="F59" s="61"/>
      <c r="G59" s="1082">
        <f t="shared" si="1"/>
        <v>0</v>
      </c>
      <c r="H59" s="61"/>
      <c r="I59" s="61"/>
      <c r="J59" s="61"/>
      <c r="K59" s="58"/>
    </row>
    <row r="60" spans="2:11" x14ac:dyDescent="0.2">
      <c r="B60" s="1085">
        <f t="shared" si="4"/>
        <v>44652</v>
      </c>
      <c r="C60" s="36">
        <f t="shared" si="2"/>
        <v>0</v>
      </c>
      <c r="D60" s="36">
        <f t="shared" si="3"/>
        <v>0</v>
      </c>
      <c r="E60" s="61"/>
      <c r="F60" s="61"/>
      <c r="G60" s="1082">
        <f t="shared" si="1"/>
        <v>0</v>
      </c>
      <c r="H60" s="61"/>
      <c r="I60" s="61"/>
      <c r="J60" s="61"/>
      <c r="K60" s="58"/>
    </row>
    <row r="61" spans="2:11" x14ac:dyDescent="0.2">
      <c r="B61" s="1085">
        <f t="shared" si="4"/>
        <v>44682</v>
      </c>
      <c r="C61" s="36">
        <f t="shared" si="2"/>
        <v>0</v>
      </c>
      <c r="D61" s="36">
        <f t="shared" si="3"/>
        <v>0</v>
      </c>
      <c r="E61" s="61"/>
      <c r="F61" s="61"/>
      <c r="G61" s="1082">
        <f t="shared" si="1"/>
        <v>0</v>
      </c>
      <c r="H61" s="61"/>
      <c r="I61" s="61"/>
      <c r="J61" s="61"/>
      <c r="K61" s="58"/>
    </row>
    <row r="62" spans="2:11" x14ac:dyDescent="0.2">
      <c r="B62" s="1085">
        <f t="shared" si="4"/>
        <v>44713</v>
      </c>
      <c r="C62" s="36">
        <f t="shared" si="2"/>
        <v>0</v>
      </c>
      <c r="D62" s="36">
        <f t="shared" si="3"/>
        <v>0</v>
      </c>
      <c r="E62" s="61"/>
      <c r="F62" s="61"/>
      <c r="G62" s="1082">
        <f t="shared" si="1"/>
        <v>0</v>
      </c>
      <c r="H62" s="61"/>
      <c r="I62" s="61"/>
      <c r="J62" s="61"/>
      <c r="K62" s="58"/>
    </row>
    <row r="63" spans="2:11" x14ac:dyDescent="0.2">
      <c r="B63" s="1085">
        <f t="shared" si="4"/>
        <v>44743</v>
      </c>
      <c r="C63" s="36">
        <f t="shared" si="2"/>
        <v>0</v>
      </c>
      <c r="D63" s="36">
        <f t="shared" si="3"/>
        <v>0</v>
      </c>
      <c r="E63" s="61"/>
      <c r="F63" s="61"/>
      <c r="G63" s="1082">
        <f t="shared" si="1"/>
        <v>0</v>
      </c>
      <c r="H63" s="61"/>
      <c r="I63" s="61"/>
      <c r="J63" s="61"/>
      <c r="K63" s="58"/>
    </row>
    <row r="64" spans="2:11" x14ac:dyDescent="0.2">
      <c r="B64" s="1085">
        <f t="shared" si="4"/>
        <v>44774</v>
      </c>
      <c r="C64" s="36">
        <f t="shared" si="2"/>
        <v>0</v>
      </c>
      <c r="D64" s="36">
        <f t="shared" si="3"/>
        <v>0</v>
      </c>
      <c r="E64" s="61"/>
      <c r="F64" s="61"/>
      <c r="G64" s="1082">
        <f t="shared" si="1"/>
        <v>0</v>
      </c>
      <c r="H64" s="61"/>
      <c r="I64" s="61"/>
      <c r="J64" s="61"/>
      <c r="K64" s="58"/>
    </row>
    <row r="65" spans="2:11" x14ac:dyDescent="0.2">
      <c r="B65" s="1085">
        <f t="shared" si="4"/>
        <v>44805</v>
      </c>
      <c r="C65" s="36">
        <f t="shared" si="2"/>
        <v>0</v>
      </c>
      <c r="D65" s="36">
        <f t="shared" si="3"/>
        <v>0</v>
      </c>
      <c r="E65" s="61"/>
      <c r="F65" s="61"/>
      <c r="G65" s="1082">
        <f t="shared" si="1"/>
        <v>0</v>
      </c>
      <c r="H65" s="61"/>
      <c r="I65" s="61"/>
      <c r="J65" s="61"/>
      <c r="K65" s="58"/>
    </row>
    <row r="66" spans="2:11" x14ac:dyDescent="0.2">
      <c r="B66" s="1085">
        <f t="shared" si="4"/>
        <v>44835</v>
      </c>
      <c r="C66" s="36">
        <f t="shared" si="2"/>
        <v>0</v>
      </c>
      <c r="D66" s="36">
        <f t="shared" si="3"/>
        <v>0</v>
      </c>
      <c r="E66" s="61"/>
      <c r="F66" s="61"/>
      <c r="G66" s="1082">
        <f t="shared" si="1"/>
        <v>0</v>
      </c>
      <c r="H66" s="61"/>
      <c r="I66" s="61"/>
      <c r="J66" s="61"/>
      <c r="K66" s="58"/>
    </row>
    <row r="67" spans="2:11" x14ac:dyDescent="0.2">
      <c r="B67" s="1085">
        <f t="shared" si="4"/>
        <v>44866</v>
      </c>
      <c r="C67" s="36">
        <f t="shared" si="2"/>
        <v>0</v>
      </c>
      <c r="D67" s="36">
        <f t="shared" si="3"/>
        <v>0</v>
      </c>
      <c r="E67" s="61"/>
      <c r="F67" s="61"/>
      <c r="G67" s="1082">
        <f t="shared" si="1"/>
        <v>0</v>
      </c>
      <c r="H67" s="61"/>
      <c r="I67" s="61"/>
      <c r="J67" s="61"/>
      <c r="K67" s="58"/>
    </row>
    <row r="68" spans="2:11" x14ac:dyDescent="0.2">
      <c r="B68" s="1086">
        <f t="shared" si="4"/>
        <v>44896</v>
      </c>
      <c r="C68" s="1087">
        <f t="shared" si="2"/>
        <v>0</v>
      </c>
      <c r="D68" s="1087">
        <f t="shared" si="3"/>
        <v>0</v>
      </c>
      <c r="E68" s="61"/>
      <c r="F68" s="61"/>
      <c r="G68" s="1089">
        <f t="shared" si="1"/>
        <v>0</v>
      </c>
      <c r="H68" s="61"/>
      <c r="I68" s="61"/>
      <c r="J68" s="61"/>
      <c r="K68" s="58"/>
    </row>
    <row r="69" spans="2:11" x14ac:dyDescent="0.2">
      <c r="B69" s="1085">
        <f t="shared" si="4"/>
        <v>44927</v>
      </c>
      <c r="C69" s="36">
        <f t="shared" si="2"/>
        <v>0</v>
      </c>
      <c r="D69" s="36">
        <f t="shared" si="3"/>
        <v>0</v>
      </c>
      <c r="E69" s="61"/>
      <c r="F69" s="61"/>
      <c r="G69" s="1082">
        <f t="shared" si="1"/>
        <v>0</v>
      </c>
      <c r="H69" s="61"/>
      <c r="I69" s="61"/>
      <c r="J69" s="61"/>
      <c r="K69" s="58"/>
    </row>
    <row r="70" spans="2:11" x14ac:dyDescent="0.2">
      <c r="B70" s="1085">
        <f t="shared" si="4"/>
        <v>44958</v>
      </c>
      <c r="C70" s="36">
        <f t="shared" si="2"/>
        <v>0</v>
      </c>
      <c r="D70" s="36">
        <f t="shared" si="3"/>
        <v>0</v>
      </c>
      <c r="E70" s="61"/>
      <c r="F70" s="61"/>
      <c r="G70" s="1082">
        <f t="shared" si="1"/>
        <v>0</v>
      </c>
      <c r="H70" s="61"/>
      <c r="I70" s="61"/>
      <c r="J70" s="61"/>
      <c r="K70" s="58"/>
    </row>
    <row r="71" spans="2:11" x14ac:dyDescent="0.2">
      <c r="B71" s="1085">
        <f t="shared" si="4"/>
        <v>44986</v>
      </c>
      <c r="C71" s="36">
        <f t="shared" si="2"/>
        <v>0</v>
      </c>
      <c r="D71" s="36">
        <f t="shared" si="3"/>
        <v>0</v>
      </c>
      <c r="E71" s="61"/>
      <c r="F71" s="61"/>
      <c r="G71" s="1082">
        <f t="shared" si="1"/>
        <v>0</v>
      </c>
      <c r="H71" s="61"/>
      <c r="I71" s="61"/>
      <c r="J71" s="61"/>
      <c r="K71" s="58"/>
    </row>
    <row r="72" spans="2:11" x14ac:dyDescent="0.2">
      <c r="B72" s="1085">
        <f t="shared" si="4"/>
        <v>45017</v>
      </c>
      <c r="C72" s="36">
        <f t="shared" si="2"/>
        <v>0</v>
      </c>
      <c r="D72" s="36">
        <f t="shared" si="3"/>
        <v>0</v>
      </c>
      <c r="E72" s="61"/>
      <c r="F72" s="61"/>
      <c r="G72" s="1082">
        <f t="shared" si="1"/>
        <v>0</v>
      </c>
      <c r="H72" s="61"/>
      <c r="I72" s="61"/>
      <c r="J72" s="61"/>
      <c r="K72" s="58"/>
    </row>
    <row r="73" spans="2:11" x14ac:dyDescent="0.2">
      <c r="B73" s="1085">
        <f t="shared" si="4"/>
        <v>45047</v>
      </c>
      <c r="C73" s="36">
        <f t="shared" si="2"/>
        <v>0</v>
      </c>
      <c r="D73" s="36">
        <f t="shared" si="3"/>
        <v>0</v>
      </c>
      <c r="E73" s="61"/>
      <c r="F73" s="61"/>
      <c r="G73" s="1082">
        <f t="shared" si="1"/>
        <v>0</v>
      </c>
      <c r="H73" s="61"/>
      <c r="I73" s="61"/>
      <c r="J73" s="61"/>
      <c r="K73" s="58"/>
    </row>
    <row r="74" spans="2:11" x14ac:dyDescent="0.2">
      <c r="B74" s="1085">
        <f t="shared" si="4"/>
        <v>45078</v>
      </c>
      <c r="C74" s="36">
        <f t="shared" si="2"/>
        <v>0</v>
      </c>
      <c r="D74" s="36">
        <f t="shared" si="3"/>
        <v>0</v>
      </c>
      <c r="E74" s="61"/>
      <c r="F74" s="61"/>
      <c r="G74" s="1082">
        <f t="shared" si="1"/>
        <v>0</v>
      </c>
      <c r="H74" s="61"/>
      <c r="I74" s="61"/>
      <c r="J74" s="61"/>
      <c r="K74" s="58"/>
    </row>
    <row r="75" spans="2:11" x14ac:dyDescent="0.2">
      <c r="B75" s="1085">
        <f t="shared" si="4"/>
        <v>45108</v>
      </c>
      <c r="C75" s="36">
        <f t="shared" si="2"/>
        <v>0</v>
      </c>
      <c r="D75" s="36">
        <f t="shared" si="3"/>
        <v>0</v>
      </c>
      <c r="E75" s="61"/>
      <c r="F75" s="61"/>
      <c r="G75" s="1082">
        <f t="shared" si="1"/>
        <v>0</v>
      </c>
      <c r="H75" s="61"/>
      <c r="I75" s="61"/>
      <c r="J75" s="61"/>
      <c r="K75" s="58"/>
    </row>
    <row r="76" spans="2:11" x14ac:dyDescent="0.2">
      <c r="B76" s="1085">
        <f t="shared" si="4"/>
        <v>45139</v>
      </c>
      <c r="C76" s="36">
        <f t="shared" si="2"/>
        <v>0</v>
      </c>
      <c r="D76" s="36">
        <f t="shared" si="3"/>
        <v>0</v>
      </c>
      <c r="E76" s="61"/>
      <c r="F76" s="61"/>
      <c r="G76" s="1082">
        <f t="shared" si="1"/>
        <v>0</v>
      </c>
      <c r="H76" s="61"/>
      <c r="I76" s="61"/>
      <c r="J76" s="61"/>
      <c r="K76" s="58"/>
    </row>
    <row r="77" spans="2:11" x14ac:dyDescent="0.2">
      <c r="B77" s="1085">
        <f t="shared" si="4"/>
        <v>45170</v>
      </c>
      <c r="C77" s="36">
        <f t="shared" si="2"/>
        <v>0</v>
      </c>
      <c r="D77" s="36">
        <f t="shared" si="3"/>
        <v>0</v>
      </c>
      <c r="E77" s="61"/>
      <c r="F77" s="61"/>
      <c r="G77" s="1082">
        <f t="shared" si="1"/>
        <v>0</v>
      </c>
      <c r="H77" s="61"/>
      <c r="I77" s="61"/>
      <c r="J77" s="61"/>
      <c r="K77" s="58"/>
    </row>
    <row r="78" spans="2:11" x14ac:dyDescent="0.2">
      <c r="B78" s="1085">
        <f t="shared" si="4"/>
        <v>45200</v>
      </c>
      <c r="C78" s="36">
        <f t="shared" si="2"/>
        <v>0</v>
      </c>
      <c r="D78" s="36">
        <f t="shared" si="3"/>
        <v>0</v>
      </c>
      <c r="E78" s="61"/>
      <c r="F78" s="61"/>
      <c r="G78" s="1082">
        <f t="shared" si="1"/>
        <v>0</v>
      </c>
      <c r="H78" s="61"/>
      <c r="I78" s="61"/>
      <c r="J78" s="61"/>
      <c r="K78" s="58"/>
    </row>
    <row r="79" spans="2:11" x14ac:dyDescent="0.2">
      <c r="B79" s="1085">
        <f t="shared" si="4"/>
        <v>45231</v>
      </c>
      <c r="C79" s="36">
        <f t="shared" si="2"/>
        <v>0</v>
      </c>
      <c r="D79" s="36">
        <f t="shared" si="3"/>
        <v>0</v>
      </c>
      <c r="E79" s="61"/>
      <c r="F79" s="61"/>
      <c r="G79" s="1082">
        <f t="shared" si="1"/>
        <v>0</v>
      </c>
      <c r="H79" s="61"/>
      <c r="I79" s="61"/>
      <c r="J79" s="61"/>
      <c r="K79" s="58"/>
    </row>
    <row r="80" spans="2:11" ht="13.5" thickBot="1" x14ac:dyDescent="0.25">
      <c r="B80" s="1086">
        <f t="shared" si="4"/>
        <v>45261</v>
      </c>
      <c r="C80" s="1087">
        <f t="shared" si="2"/>
        <v>0</v>
      </c>
      <c r="D80" s="1087">
        <f t="shared" si="3"/>
        <v>0</v>
      </c>
      <c r="E80" s="61"/>
      <c r="F80" s="61"/>
      <c r="G80" s="1104">
        <f t="shared" si="1"/>
        <v>0</v>
      </c>
      <c r="H80" s="61"/>
      <c r="I80" s="61"/>
      <c r="J80" s="61"/>
      <c r="K80" s="58"/>
    </row>
    <row r="81" spans="2:11" x14ac:dyDescent="0.2">
      <c r="C81" s="61"/>
      <c r="D81" s="61"/>
      <c r="E81" s="61"/>
      <c r="F81" s="61"/>
      <c r="G81" s="61"/>
      <c r="H81" s="61"/>
      <c r="I81" s="61"/>
      <c r="J81" s="61"/>
      <c r="K81" s="58"/>
    </row>
    <row r="82" spans="2:11" ht="13.5" thickBot="1" x14ac:dyDescent="0.25">
      <c r="B82" s="1" t="s">
        <v>673</v>
      </c>
      <c r="C82" s="61"/>
      <c r="D82" s="61"/>
      <c r="E82" s="61"/>
      <c r="F82" s="61"/>
      <c r="G82" s="61"/>
      <c r="H82" s="61"/>
      <c r="I82" s="61"/>
      <c r="J82" s="61"/>
      <c r="K82" s="58"/>
    </row>
    <row r="83" spans="2:11" x14ac:dyDescent="0.2">
      <c r="B83" s="1102" t="s">
        <v>152</v>
      </c>
      <c r="C83" s="109"/>
      <c r="D83" s="109"/>
      <c r="E83" s="109"/>
      <c r="F83" s="1073"/>
      <c r="G83" s="1098"/>
      <c r="H83" s="637"/>
      <c r="I83" s="109"/>
      <c r="J83" s="109"/>
      <c r="K83" s="109"/>
    </row>
    <row r="84" spans="2:11" x14ac:dyDescent="0.2">
      <c r="B84" s="1085">
        <f>DATE(YEAR(C5),MONTH(1),DAY(1))</f>
        <v>43831</v>
      </c>
      <c r="C84" s="36">
        <f t="shared" ref="C84:C131" si="5">IF(ISERROR(VLOOKUP($B84,$C$137:$D$184,2,FALSE))=TRUE,0,VLOOKUP($B84,$C$137:$D$184,2,FALSE))</f>
        <v>0</v>
      </c>
      <c r="D84" s="36">
        <f t="shared" ref="D84:D131" si="6">IF(ISERROR(VLOOKUP($B84,$C$137:$F$184,4,FALSE))=TRUE,0,VLOOKUP($B84,$C$137:$F$184,4,FALSE))</f>
        <v>0</v>
      </c>
      <c r="E84" s="109">
        <f t="shared" ref="E84:E131" si="7">IF($B84=$E$20,$E$13,0)</f>
        <v>0</v>
      </c>
      <c r="F84" s="1073">
        <f t="shared" ref="F84:F131" si="8">IF($B84=$F$20,$F$13,0)</f>
        <v>0</v>
      </c>
      <c r="G84" s="1082">
        <f t="shared" ref="G84:G131" si="9">SUM(C84:F84)</f>
        <v>0</v>
      </c>
      <c r="H84" s="637">
        <f t="shared" ref="H84:H119" si="10">IF($B84=$H$20,$H$13,0)</f>
        <v>0</v>
      </c>
      <c r="I84" s="109">
        <f t="shared" ref="I84:I119" si="11">IF($B84=$I$20,$I$13,0)</f>
        <v>0</v>
      </c>
      <c r="J84" s="109">
        <f t="shared" ref="J84:J119" si="12">IF($B84=$J$20,$J$13,0)</f>
        <v>0</v>
      </c>
      <c r="K84" s="60">
        <f t="shared" ref="K84:K119" si="13">SUM(H84:J84)</f>
        <v>0</v>
      </c>
    </row>
    <row r="85" spans="2:11" x14ac:dyDescent="0.2">
      <c r="B85" s="1085">
        <f>DATE(YEAR(B84),MONTH(B84)+1,DAY(B84))</f>
        <v>43862</v>
      </c>
      <c r="C85" s="36">
        <f t="shared" si="5"/>
        <v>0</v>
      </c>
      <c r="D85" s="36">
        <f t="shared" si="6"/>
        <v>0</v>
      </c>
      <c r="E85" s="109">
        <f t="shared" si="7"/>
        <v>0</v>
      </c>
      <c r="F85" s="1073">
        <f t="shared" si="8"/>
        <v>0</v>
      </c>
      <c r="G85" s="1082">
        <f t="shared" si="9"/>
        <v>0</v>
      </c>
      <c r="H85" s="637">
        <f t="shared" si="10"/>
        <v>0</v>
      </c>
      <c r="I85" s="109">
        <f t="shared" si="11"/>
        <v>0</v>
      </c>
      <c r="J85" s="109">
        <f t="shared" si="12"/>
        <v>0</v>
      </c>
      <c r="K85" s="60">
        <f t="shared" si="13"/>
        <v>0</v>
      </c>
    </row>
    <row r="86" spans="2:11" x14ac:dyDescent="0.2">
      <c r="B86" s="1085">
        <f t="shared" ref="B86:B131" si="14">DATE(YEAR(B85),MONTH(B85)+1,DAY(B85))</f>
        <v>43891</v>
      </c>
      <c r="C86" s="36">
        <f t="shared" si="5"/>
        <v>0</v>
      </c>
      <c r="D86" s="36">
        <f t="shared" si="6"/>
        <v>0</v>
      </c>
      <c r="E86" s="109">
        <f t="shared" si="7"/>
        <v>0</v>
      </c>
      <c r="F86" s="1073">
        <f t="shared" si="8"/>
        <v>0</v>
      </c>
      <c r="G86" s="1082">
        <f t="shared" si="9"/>
        <v>0</v>
      </c>
      <c r="H86" s="637">
        <f t="shared" si="10"/>
        <v>0</v>
      </c>
      <c r="I86" s="109">
        <f t="shared" si="11"/>
        <v>0</v>
      </c>
      <c r="J86" s="109">
        <f t="shared" si="12"/>
        <v>0</v>
      </c>
      <c r="K86" s="60">
        <f t="shared" si="13"/>
        <v>0</v>
      </c>
    </row>
    <row r="87" spans="2:11" x14ac:dyDescent="0.2">
      <c r="B87" s="1085">
        <f t="shared" si="14"/>
        <v>43922</v>
      </c>
      <c r="C87" s="36">
        <f t="shared" si="5"/>
        <v>0</v>
      </c>
      <c r="D87" s="36">
        <f t="shared" si="6"/>
        <v>0</v>
      </c>
      <c r="E87" s="109">
        <f t="shared" si="7"/>
        <v>0</v>
      </c>
      <c r="F87" s="1073">
        <f t="shared" si="8"/>
        <v>0</v>
      </c>
      <c r="G87" s="1082">
        <f t="shared" si="9"/>
        <v>0</v>
      </c>
      <c r="H87" s="637">
        <f t="shared" si="10"/>
        <v>0</v>
      </c>
      <c r="I87" s="109">
        <f t="shared" si="11"/>
        <v>0</v>
      </c>
      <c r="J87" s="109">
        <f t="shared" si="12"/>
        <v>0</v>
      </c>
      <c r="K87" s="60">
        <f t="shared" si="13"/>
        <v>0</v>
      </c>
    </row>
    <row r="88" spans="2:11" x14ac:dyDescent="0.2">
      <c r="B88" s="1085">
        <f t="shared" si="14"/>
        <v>43952</v>
      </c>
      <c r="C88" s="36">
        <f t="shared" si="5"/>
        <v>0</v>
      </c>
      <c r="D88" s="36">
        <f t="shared" si="6"/>
        <v>0</v>
      </c>
      <c r="E88" s="109">
        <f t="shared" si="7"/>
        <v>0</v>
      </c>
      <c r="F88" s="1073">
        <f t="shared" si="8"/>
        <v>0</v>
      </c>
      <c r="G88" s="1082">
        <f t="shared" si="9"/>
        <v>0</v>
      </c>
      <c r="H88" s="637">
        <f t="shared" si="10"/>
        <v>0</v>
      </c>
      <c r="I88" s="109">
        <f t="shared" si="11"/>
        <v>0</v>
      </c>
      <c r="J88" s="109">
        <f t="shared" si="12"/>
        <v>0</v>
      </c>
      <c r="K88" s="60">
        <f t="shared" si="13"/>
        <v>0</v>
      </c>
    </row>
    <row r="89" spans="2:11" x14ac:dyDescent="0.2">
      <c r="B89" s="1085">
        <f t="shared" si="14"/>
        <v>43983</v>
      </c>
      <c r="C89" s="36">
        <f t="shared" si="5"/>
        <v>0</v>
      </c>
      <c r="D89" s="36">
        <f t="shared" si="6"/>
        <v>0</v>
      </c>
      <c r="E89" s="109">
        <f t="shared" si="7"/>
        <v>0</v>
      </c>
      <c r="F89" s="1073">
        <f t="shared" si="8"/>
        <v>0</v>
      </c>
      <c r="G89" s="1082">
        <f t="shared" si="9"/>
        <v>0</v>
      </c>
      <c r="H89" s="637">
        <f t="shared" si="10"/>
        <v>0</v>
      </c>
      <c r="I89" s="109">
        <f t="shared" si="11"/>
        <v>0</v>
      </c>
      <c r="J89" s="109">
        <f t="shared" si="12"/>
        <v>0</v>
      </c>
      <c r="K89" s="60">
        <f t="shared" si="13"/>
        <v>0</v>
      </c>
    </row>
    <row r="90" spans="2:11" x14ac:dyDescent="0.2">
      <c r="B90" s="1085">
        <f t="shared" si="14"/>
        <v>44013</v>
      </c>
      <c r="C90" s="36">
        <f t="shared" si="5"/>
        <v>0</v>
      </c>
      <c r="D90" s="36">
        <f t="shared" si="6"/>
        <v>0</v>
      </c>
      <c r="E90" s="109">
        <f t="shared" si="7"/>
        <v>0</v>
      </c>
      <c r="F90" s="1073">
        <f t="shared" si="8"/>
        <v>0</v>
      </c>
      <c r="G90" s="1082">
        <f t="shared" si="9"/>
        <v>0</v>
      </c>
      <c r="H90" s="637">
        <f t="shared" si="10"/>
        <v>0</v>
      </c>
      <c r="I90" s="109">
        <f t="shared" si="11"/>
        <v>0</v>
      </c>
      <c r="J90" s="109">
        <f t="shared" si="12"/>
        <v>0</v>
      </c>
      <c r="K90" s="60">
        <f t="shared" si="13"/>
        <v>0</v>
      </c>
    </row>
    <row r="91" spans="2:11" x14ac:dyDescent="0.2">
      <c r="B91" s="1085">
        <f t="shared" si="14"/>
        <v>44044</v>
      </c>
      <c r="C91" s="36">
        <f t="shared" si="5"/>
        <v>0</v>
      </c>
      <c r="D91" s="36">
        <f t="shared" si="6"/>
        <v>0</v>
      </c>
      <c r="E91" s="109">
        <f t="shared" si="7"/>
        <v>0</v>
      </c>
      <c r="F91" s="1073">
        <f t="shared" si="8"/>
        <v>0</v>
      </c>
      <c r="G91" s="1082">
        <f t="shared" si="9"/>
        <v>0</v>
      </c>
      <c r="H91" s="637">
        <f t="shared" si="10"/>
        <v>0</v>
      </c>
      <c r="I91" s="109">
        <f t="shared" si="11"/>
        <v>0</v>
      </c>
      <c r="J91" s="109">
        <f t="shared" si="12"/>
        <v>0</v>
      </c>
      <c r="K91" s="60">
        <f t="shared" si="13"/>
        <v>0</v>
      </c>
    </row>
    <row r="92" spans="2:11" x14ac:dyDescent="0.2">
      <c r="B92" s="1085">
        <f>DATE(YEAR(B91),MONTH(B91)+1,DAY(B91))</f>
        <v>44075</v>
      </c>
      <c r="C92" s="36">
        <f t="shared" si="5"/>
        <v>0</v>
      </c>
      <c r="D92" s="36">
        <f t="shared" si="6"/>
        <v>0</v>
      </c>
      <c r="E92" s="109">
        <f t="shared" si="7"/>
        <v>0</v>
      </c>
      <c r="F92" s="1073">
        <f t="shared" si="8"/>
        <v>0</v>
      </c>
      <c r="G92" s="1082">
        <f t="shared" si="9"/>
        <v>0</v>
      </c>
      <c r="H92" s="637">
        <f t="shared" si="10"/>
        <v>0</v>
      </c>
      <c r="I92" s="109">
        <f t="shared" si="11"/>
        <v>0</v>
      </c>
      <c r="J92" s="109">
        <f t="shared" si="12"/>
        <v>0</v>
      </c>
      <c r="K92" s="60">
        <f t="shared" si="13"/>
        <v>0</v>
      </c>
    </row>
    <row r="93" spans="2:11" x14ac:dyDescent="0.2">
      <c r="B93" s="1085">
        <f t="shared" si="14"/>
        <v>44105</v>
      </c>
      <c r="C93" s="36">
        <f t="shared" si="5"/>
        <v>0</v>
      </c>
      <c r="D93" s="36">
        <f t="shared" si="6"/>
        <v>0</v>
      </c>
      <c r="E93" s="109">
        <f t="shared" si="7"/>
        <v>0</v>
      </c>
      <c r="F93" s="1073">
        <f t="shared" si="8"/>
        <v>0</v>
      </c>
      <c r="G93" s="1082">
        <f t="shared" si="9"/>
        <v>0</v>
      </c>
      <c r="H93" s="637">
        <f t="shared" si="10"/>
        <v>0</v>
      </c>
      <c r="I93" s="109">
        <f t="shared" si="11"/>
        <v>0</v>
      </c>
      <c r="J93" s="109">
        <f t="shared" si="12"/>
        <v>0</v>
      </c>
      <c r="K93" s="60">
        <f t="shared" si="13"/>
        <v>0</v>
      </c>
    </row>
    <row r="94" spans="2:11" x14ac:dyDescent="0.2">
      <c r="B94" s="1085">
        <f t="shared" si="14"/>
        <v>44136</v>
      </c>
      <c r="C94" s="36">
        <f t="shared" si="5"/>
        <v>0</v>
      </c>
      <c r="D94" s="36">
        <f t="shared" si="6"/>
        <v>0</v>
      </c>
      <c r="E94" s="109">
        <f t="shared" si="7"/>
        <v>0</v>
      </c>
      <c r="F94" s="1073">
        <f t="shared" si="8"/>
        <v>0</v>
      </c>
      <c r="G94" s="1082">
        <f t="shared" si="9"/>
        <v>0</v>
      </c>
      <c r="H94" s="637">
        <f t="shared" si="10"/>
        <v>0</v>
      </c>
      <c r="I94" s="109">
        <f t="shared" si="11"/>
        <v>0</v>
      </c>
      <c r="J94" s="109">
        <f t="shared" si="12"/>
        <v>0</v>
      </c>
      <c r="K94" s="60">
        <f t="shared" si="13"/>
        <v>0</v>
      </c>
    </row>
    <row r="95" spans="2:11" s="1" customFormat="1" x14ac:dyDescent="0.2">
      <c r="B95" s="1105">
        <f t="shared" si="14"/>
        <v>44166</v>
      </c>
      <c r="C95" s="1087">
        <f t="shared" si="5"/>
        <v>0</v>
      </c>
      <c r="D95" s="1087">
        <f t="shared" si="6"/>
        <v>0</v>
      </c>
      <c r="E95" s="1106">
        <f t="shared" si="7"/>
        <v>0</v>
      </c>
      <c r="F95" s="84">
        <f t="shared" si="8"/>
        <v>0</v>
      </c>
      <c r="G95" s="1083">
        <f t="shared" si="9"/>
        <v>0</v>
      </c>
      <c r="H95" s="1079">
        <f t="shared" si="10"/>
        <v>0</v>
      </c>
      <c r="I95" s="814">
        <f t="shared" si="11"/>
        <v>0</v>
      </c>
      <c r="J95" s="814">
        <f t="shared" si="12"/>
        <v>0</v>
      </c>
      <c r="K95" s="1071">
        <f t="shared" si="13"/>
        <v>0</v>
      </c>
    </row>
    <row r="96" spans="2:11" x14ac:dyDescent="0.2">
      <c r="B96" s="1085">
        <f t="shared" si="14"/>
        <v>44197</v>
      </c>
      <c r="C96" s="36">
        <f t="shared" si="5"/>
        <v>0</v>
      </c>
      <c r="D96" s="36">
        <f t="shared" si="6"/>
        <v>0</v>
      </c>
      <c r="E96" s="109">
        <f t="shared" si="7"/>
        <v>0</v>
      </c>
      <c r="F96" s="1073">
        <f t="shared" si="8"/>
        <v>0</v>
      </c>
      <c r="G96" s="1082">
        <f t="shared" si="9"/>
        <v>0</v>
      </c>
      <c r="H96" s="637">
        <f t="shared" si="10"/>
        <v>0</v>
      </c>
      <c r="I96" s="109">
        <f t="shared" si="11"/>
        <v>0</v>
      </c>
      <c r="J96" s="109">
        <f t="shared" si="12"/>
        <v>0</v>
      </c>
      <c r="K96" s="60">
        <f t="shared" si="13"/>
        <v>0</v>
      </c>
    </row>
    <row r="97" spans="2:11" x14ac:dyDescent="0.2">
      <c r="B97" s="1085">
        <f t="shared" si="14"/>
        <v>44228</v>
      </c>
      <c r="C97" s="36">
        <f t="shared" si="5"/>
        <v>0</v>
      </c>
      <c r="D97" s="36">
        <f t="shared" si="6"/>
        <v>0</v>
      </c>
      <c r="E97" s="109">
        <f t="shared" si="7"/>
        <v>0</v>
      </c>
      <c r="F97" s="1073">
        <f t="shared" si="8"/>
        <v>0</v>
      </c>
      <c r="G97" s="1082">
        <f t="shared" si="9"/>
        <v>0</v>
      </c>
      <c r="H97" s="637">
        <f t="shared" si="10"/>
        <v>0</v>
      </c>
      <c r="I97" s="109">
        <f t="shared" si="11"/>
        <v>0</v>
      </c>
      <c r="J97" s="109">
        <f t="shared" si="12"/>
        <v>0</v>
      </c>
      <c r="K97" s="60">
        <f t="shared" si="13"/>
        <v>0</v>
      </c>
    </row>
    <row r="98" spans="2:11" x14ac:dyDescent="0.2">
      <c r="B98" s="1085">
        <f t="shared" si="14"/>
        <v>44256</v>
      </c>
      <c r="C98" s="36">
        <f t="shared" si="5"/>
        <v>0</v>
      </c>
      <c r="D98" s="36">
        <f t="shared" si="6"/>
        <v>0</v>
      </c>
      <c r="E98" s="109">
        <f t="shared" si="7"/>
        <v>0</v>
      </c>
      <c r="F98" s="1073">
        <f t="shared" si="8"/>
        <v>0</v>
      </c>
      <c r="G98" s="1082">
        <f t="shared" si="9"/>
        <v>0</v>
      </c>
      <c r="H98" s="637">
        <f t="shared" si="10"/>
        <v>0</v>
      </c>
      <c r="I98" s="109">
        <f t="shared" si="11"/>
        <v>0</v>
      </c>
      <c r="J98" s="109">
        <f t="shared" si="12"/>
        <v>0</v>
      </c>
      <c r="K98" s="60">
        <f t="shared" si="13"/>
        <v>0</v>
      </c>
    </row>
    <row r="99" spans="2:11" x14ac:dyDescent="0.2">
      <c r="B99" s="1085">
        <f t="shared" si="14"/>
        <v>44287</v>
      </c>
      <c r="C99" s="36">
        <f t="shared" si="5"/>
        <v>0</v>
      </c>
      <c r="D99" s="36">
        <f t="shared" si="6"/>
        <v>0</v>
      </c>
      <c r="E99" s="109">
        <f t="shared" si="7"/>
        <v>0</v>
      </c>
      <c r="F99" s="1073">
        <f t="shared" si="8"/>
        <v>0</v>
      </c>
      <c r="G99" s="1082">
        <f t="shared" si="9"/>
        <v>0</v>
      </c>
      <c r="H99" s="637">
        <f t="shared" si="10"/>
        <v>0</v>
      </c>
      <c r="I99" s="109">
        <f t="shared" si="11"/>
        <v>0</v>
      </c>
      <c r="J99" s="109">
        <f t="shared" si="12"/>
        <v>0</v>
      </c>
      <c r="K99" s="60">
        <f t="shared" si="13"/>
        <v>0</v>
      </c>
    </row>
    <row r="100" spans="2:11" x14ac:dyDescent="0.2">
      <c r="B100" s="1085">
        <f t="shared" si="14"/>
        <v>44317</v>
      </c>
      <c r="C100" s="36">
        <f t="shared" si="5"/>
        <v>0</v>
      </c>
      <c r="D100" s="36">
        <f t="shared" si="6"/>
        <v>0</v>
      </c>
      <c r="E100" s="109">
        <f t="shared" si="7"/>
        <v>0</v>
      </c>
      <c r="F100" s="1073">
        <f t="shared" si="8"/>
        <v>0</v>
      </c>
      <c r="G100" s="1082">
        <f t="shared" si="9"/>
        <v>0</v>
      </c>
      <c r="H100" s="637">
        <f t="shared" si="10"/>
        <v>0</v>
      </c>
      <c r="I100" s="109">
        <f t="shared" si="11"/>
        <v>0</v>
      </c>
      <c r="J100" s="109">
        <f t="shared" si="12"/>
        <v>0</v>
      </c>
      <c r="K100" s="60">
        <f t="shared" si="13"/>
        <v>0</v>
      </c>
    </row>
    <row r="101" spans="2:11" x14ac:dyDescent="0.2">
      <c r="B101" s="1085">
        <f t="shared" si="14"/>
        <v>44348</v>
      </c>
      <c r="C101" s="36">
        <f t="shared" si="5"/>
        <v>0</v>
      </c>
      <c r="D101" s="36">
        <f t="shared" si="6"/>
        <v>0</v>
      </c>
      <c r="E101" s="109">
        <f t="shared" si="7"/>
        <v>0</v>
      </c>
      <c r="F101" s="1073">
        <f t="shared" si="8"/>
        <v>0</v>
      </c>
      <c r="G101" s="1082">
        <f t="shared" si="9"/>
        <v>0</v>
      </c>
      <c r="H101" s="637">
        <f t="shared" si="10"/>
        <v>0</v>
      </c>
      <c r="I101" s="109">
        <f t="shared" si="11"/>
        <v>0</v>
      </c>
      <c r="J101" s="109">
        <f t="shared" si="12"/>
        <v>0</v>
      </c>
      <c r="K101" s="60">
        <f t="shared" si="13"/>
        <v>0</v>
      </c>
    </row>
    <row r="102" spans="2:11" x14ac:dyDescent="0.2">
      <c r="B102" s="1085">
        <f t="shared" si="14"/>
        <v>44378</v>
      </c>
      <c r="C102" s="36">
        <f t="shared" si="5"/>
        <v>0</v>
      </c>
      <c r="D102" s="36">
        <f t="shared" si="6"/>
        <v>0</v>
      </c>
      <c r="E102" s="109">
        <f t="shared" si="7"/>
        <v>0</v>
      </c>
      <c r="F102" s="1073">
        <f t="shared" si="8"/>
        <v>0</v>
      </c>
      <c r="G102" s="1082">
        <f t="shared" si="9"/>
        <v>0</v>
      </c>
      <c r="H102" s="637">
        <f t="shared" si="10"/>
        <v>0</v>
      </c>
      <c r="I102" s="109">
        <f t="shared" si="11"/>
        <v>0</v>
      </c>
      <c r="J102" s="109">
        <f t="shared" si="12"/>
        <v>0</v>
      </c>
      <c r="K102" s="60">
        <f t="shared" si="13"/>
        <v>0</v>
      </c>
    </row>
    <row r="103" spans="2:11" x14ac:dyDescent="0.2">
      <c r="B103" s="1085">
        <f t="shared" si="14"/>
        <v>44409</v>
      </c>
      <c r="C103" s="36">
        <f t="shared" si="5"/>
        <v>0</v>
      </c>
      <c r="D103" s="36">
        <f t="shared" si="6"/>
        <v>0</v>
      </c>
      <c r="E103" s="109">
        <f t="shared" si="7"/>
        <v>0</v>
      </c>
      <c r="F103" s="1073">
        <f t="shared" si="8"/>
        <v>0</v>
      </c>
      <c r="G103" s="1082">
        <f t="shared" si="9"/>
        <v>0</v>
      </c>
      <c r="H103" s="637">
        <f t="shared" si="10"/>
        <v>0</v>
      </c>
      <c r="I103" s="109">
        <f t="shared" si="11"/>
        <v>0</v>
      </c>
      <c r="J103" s="109">
        <f t="shared" si="12"/>
        <v>0</v>
      </c>
      <c r="K103" s="60">
        <f t="shared" si="13"/>
        <v>0</v>
      </c>
    </row>
    <row r="104" spans="2:11" x14ac:dyDescent="0.2">
      <c r="B104" s="1085">
        <f t="shared" si="14"/>
        <v>44440</v>
      </c>
      <c r="C104" s="36">
        <f t="shared" si="5"/>
        <v>0</v>
      </c>
      <c r="D104" s="36">
        <f t="shared" si="6"/>
        <v>0</v>
      </c>
      <c r="E104" s="109">
        <f t="shared" si="7"/>
        <v>0</v>
      </c>
      <c r="F104" s="1073">
        <f t="shared" si="8"/>
        <v>0</v>
      </c>
      <c r="G104" s="1082">
        <f t="shared" si="9"/>
        <v>0</v>
      </c>
      <c r="H104" s="637">
        <f t="shared" si="10"/>
        <v>0</v>
      </c>
      <c r="I104" s="109">
        <f t="shared" si="11"/>
        <v>0</v>
      </c>
      <c r="J104" s="109">
        <f t="shared" si="12"/>
        <v>0</v>
      </c>
      <c r="K104" s="60">
        <f t="shared" si="13"/>
        <v>0</v>
      </c>
    </row>
    <row r="105" spans="2:11" x14ac:dyDescent="0.2">
      <c r="B105" s="1085">
        <f t="shared" si="14"/>
        <v>44470</v>
      </c>
      <c r="C105" s="36">
        <f t="shared" si="5"/>
        <v>0</v>
      </c>
      <c r="D105" s="36">
        <f t="shared" si="6"/>
        <v>0</v>
      </c>
      <c r="E105" s="109">
        <f t="shared" si="7"/>
        <v>0</v>
      </c>
      <c r="F105" s="1073">
        <f t="shared" si="8"/>
        <v>0</v>
      </c>
      <c r="G105" s="1082">
        <f t="shared" si="9"/>
        <v>0</v>
      </c>
      <c r="H105" s="637">
        <f t="shared" si="10"/>
        <v>0</v>
      </c>
      <c r="I105" s="109">
        <f t="shared" si="11"/>
        <v>0</v>
      </c>
      <c r="J105" s="109">
        <f t="shared" si="12"/>
        <v>0</v>
      </c>
      <c r="K105" s="60">
        <f t="shared" si="13"/>
        <v>0</v>
      </c>
    </row>
    <row r="106" spans="2:11" x14ac:dyDescent="0.2">
      <c r="B106" s="1085">
        <f t="shared" si="14"/>
        <v>44501</v>
      </c>
      <c r="C106" s="36">
        <f t="shared" si="5"/>
        <v>0</v>
      </c>
      <c r="D106" s="36">
        <f t="shared" si="6"/>
        <v>0</v>
      </c>
      <c r="E106" s="109">
        <f t="shared" si="7"/>
        <v>0</v>
      </c>
      <c r="F106" s="1073">
        <f t="shared" si="8"/>
        <v>0</v>
      </c>
      <c r="G106" s="1082">
        <f t="shared" si="9"/>
        <v>0</v>
      </c>
      <c r="H106" s="637">
        <f t="shared" si="10"/>
        <v>0</v>
      </c>
      <c r="I106" s="109">
        <f t="shared" si="11"/>
        <v>0</v>
      </c>
      <c r="J106" s="109">
        <f t="shared" si="12"/>
        <v>0</v>
      </c>
      <c r="K106" s="60">
        <f t="shared" si="13"/>
        <v>0</v>
      </c>
    </row>
    <row r="107" spans="2:11" s="1" customFormat="1" x14ac:dyDescent="0.2">
      <c r="B107" s="1105">
        <f t="shared" si="14"/>
        <v>44531</v>
      </c>
      <c r="C107" s="1087">
        <f t="shared" si="5"/>
        <v>0</v>
      </c>
      <c r="D107" s="1087">
        <f t="shared" si="6"/>
        <v>0</v>
      </c>
      <c r="E107" s="1106">
        <f t="shared" si="7"/>
        <v>0</v>
      </c>
      <c r="F107" s="84">
        <f t="shared" si="8"/>
        <v>0</v>
      </c>
      <c r="G107" s="1083">
        <f t="shared" si="9"/>
        <v>0</v>
      </c>
      <c r="H107" s="1079">
        <f t="shared" si="10"/>
        <v>0</v>
      </c>
      <c r="I107" s="814">
        <f t="shared" si="11"/>
        <v>0</v>
      </c>
      <c r="J107" s="814">
        <f t="shared" si="12"/>
        <v>0</v>
      </c>
      <c r="K107" s="1070">
        <f t="shared" si="13"/>
        <v>0</v>
      </c>
    </row>
    <row r="108" spans="2:11" x14ac:dyDescent="0.2">
      <c r="B108" s="1085">
        <f t="shared" si="14"/>
        <v>44562</v>
      </c>
      <c r="C108" s="36">
        <f t="shared" si="5"/>
        <v>0</v>
      </c>
      <c r="D108" s="36">
        <f t="shared" si="6"/>
        <v>0</v>
      </c>
      <c r="E108" s="109">
        <f t="shared" si="7"/>
        <v>0</v>
      </c>
      <c r="F108" s="1073">
        <f t="shared" si="8"/>
        <v>0</v>
      </c>
      <c r="G108" s="1082">
        <f t="shared" si="9"/>
        <v>0</v>
      </c>
      <c r="H108" s="637">
        <f t="shared" si="10"/>
        <v>0</v>
      </c>
      <c r="I108" s="109">
        <f t="shared" si="11"/>
        <v>0</v>
      </c>
      <c r="J108" s="109">
        <f t="shared" si="12"/>
        <v>0</v>
      </c>
      <c r="K108" s="60">
        <f t="shared" si="13"/>
        <v>0</v>
      </c>
    </row>
    <row r="109" spans="2:11" x14ac:dyDescent="0.2">
      <c r="B109" s="1085">
        <f t="shared" si="14"/>
        <v>44593</v>
      </c>
      <c r="C109" s="36">
        <f t="shared" si="5"/>
        <v>0</v>
      </c>
      <c r="D109" s="36">
        <f t="shared" si="6"/>
        <v>0</v>
      </c>
      <c r="E109" s="109">
        <f t="shared" si="7"/>
        <v>0</v>
      </c>
      <c r="F109" s="1073">
        <f t="shared" si="8"/>
        <v>0</v>
      </c>
      <c r="G109" s="1082">
        <f t="shared" si="9"/>
        <v>0</v>
      </c>
      <c r="H109" s="637">
        <f t="shared" si="10"/>
        <v>0</v>
      </c>
      <c r="I109" s="109">
        <f t="shared" si="11"/>
        <v>0</v>
      </c>
      <c r="J109" s="109">
        <f t="shared" si="12"/>
        <v>0</v>
      </c>
      <c r="K109" s="60">
        <f t="shared" si="13"/>
        <v>0</v>
      </c>
    </row>
    <row r="110" spans="2:11" x14ac:dyDescent="0.2">
      <c r="B110" s="1085">
        <f t="shared" si="14"/>
        <v>44621</v>
      </c>
      <c r="C110" s="36">
        <f t="shared" si="5"/>
        <v>0</v>
      </c>
      <c r="D110" s="36">
        <f t="shared" si="6"/>
        <v>0</v>
      </c>
      <c r="E110" s="109">
        <f t="shared" si="7"/>
        <v>0</v>
      </c>
      <c r="F110" s="1073">
        <f t="shared" si="8"/>
        <v>0</v>
      </c>
      <c r="G110" s="1082">
        <f t="shared" si="9"/>
        <v>0</v>
      </c>
      <c r="H110" s="637">
        <f t="shared" si="10"/>
        <v>0</v>
      </c>
      <c r="I110" s="109">
        <f t="shared" si="11"/>
        <v>0</v>
      </c>
      <c r="J110" s="109">
        <f t="shared" si="12"/>
        <v>0</v>
      </c>
      <c r="K110" s="60">
        <f t="shared" si="13"/>
        <v>0</v>
      </c>
    </row>
    <row r="111" spans="2:11" x14ac:dyDescent="0.2">
      <c r="B111" s="1085">
        <f t="shared" si="14"/>
        <v>44652</v>
      </c>
      <c r="C111" s="36">
        <f t="shared" si="5"/>
        <v>0</v>
      </c>
      <c r="D111" s="36">
        <f t="shared" si="6"/>
        <v>0</v>
      </c>
      <c r="E111" s="109">
        <f t="shared" si="7"/>
        <v>0</v>
      </c>
      <c r="F111" s="1073">
        <f t="shared" si="8"/>
        <v>0</v>
      </c>
      <c r="G111" s="1082">
        <f t="shared" si="9"/>
        <v>0</v>
      </c>
      <c r="H111" s="637">
        <f t="shared" si="10"/>
        <v>0</v>
      </c>
      <c r="I111" s="109">
        <f t="shared" si="11"/>
        <v>0</v>
      </c>
      <c r="J111" s="109">
        <f t="shared" si="12"/>
        <v>0</v>
      </c>
      <c r="K111" s="60">
        <f t="shared" si="13"/>
        <v>0</v>
      </c>
    </row>
    <row r="112" spans="2:11" x14ac:dyDescent="0.2">
      <c r="B112" s="1085">
        <f t="shared" si="14"/>
        <v>44682</v>
      </c>
      <c r="C112" s="36">
        <f t="shared" si="5"/>
        <v>0</v>
      </c>
      <c r="D112" s="36">
        <f t="shared" si="6"/>
        <v>0</v>
      </c>
      <c r="E112" s="109">
        <f t="shared" si="7"/>
        <v>0</v>
      </c>
      <c r="F112" s="1073">
        <f t="shared" si="8"/>
        <v>0</v>
      </c>
      <c r="G112" s="1082">
        <f t="shared" si="9"/>
        <v>0</v>
      </c>
      <c r="H112" s="637">
        <f t="shared" si="10"/>
        <v>0</v>
      </c>
      <c r="I112" s="109">
        <f t="shared" si="11"/>
        <v>0</v>
      </c>
      <c r="J112" s="109">
        <f t="shared" si="12"/>
        <v>0</v>
      </c>
      <c r="K112" s="60">
        <f t="shared" si="13"/>
        <v>0</v>
      </c>
    </row>
    <row r="113" spans="2:11" x14ac:dyDescent="0.2">
      <c r="B113" s="1085">
        <f t="shared" si="14"/>
        <v>44713</v>
      </c>
      <c r="C113" s="36">
        <f t="shared" si="5"/>
        <v>0</v>
      </c>
      <c r="D113" s="36">
        <f t="shared" si="6"/>
        <v>0</v>
      </c>
      <c r="E113" s="109">
        <f t="shared" si="7"/>
        <v>0</v>
      </c>
      <c r="F113" s="1073">
        <f t="shared" si="8"/>
        <v>0</v>
      </c>
      <c r="G113" s="1082">
        <f t="shared" si="9"/>
        <v>0</v>
      </c>
      <c r="H113" s="637">
        <f t="shared" si="10"/>
        <v>0</v>
      </c>
      <c r="I113" s="109">
        <f t="shared" si="11"/>
        <v>0</v>
      </c>
      <c r="J113" s="109">
        <f t="shared" si="12"/>
        <v>0</v>
      </c>
      <c r="K113" s="60">
        <f t="shared" si="13"/>
        <v>0</v>
      </c>
    </row>
    <row r="114" spans="2:11" x14ac:dyDescent="0.2">
      <c r="B114" s="1085">
        <f t="shared" si="14"/>
        <v>44743</v>
      </c>
      <c r="C114" s="36">
        <f t="shared" si="5"/>
        <v>0</v>
      </c>
      <c r="D114" s="36">
        <f t="shared" si="6"/>
        <v>0</v>
      </c>
      <c r="E114" s="109">
        <f t="shared" si="7"/>
        <v>0</v>
      </c>
      <c r="F114" s="1073">
        <f t="shared" si="8"/>
        <v>0</v>
      </c>
      <c r="G114" s="1082">
        <f t="shared" si="9"/>
        <v>0</v>
      </c>
      <c r="H114" s="637">
        <f t="shared" si="10"/>
        <v>0</v>
      </c>
      <c r="I114" s="109">
        <f t="shared" si="11"/>
        <v>0</v>
      </c>
      <c r="J114" s="109">
        <f t="shared" si="12"/>
        <v>0</v>
      </c>
      <c r="K114" s="60">
        <f t="shared" si="13"/>
        <v>0</v>
      </c>
    </row>
    <row r="115" spans="2:11" x14ac:dyDescent="0.2">
      <c r="B115" s="1085">
        <f t="shared" si="14"/>
        <v>44774</v>
      </c>
      <c r="C115" s="36">
        <f t="shared" si="5"/>
        <v>0</v>
      </c>
      <c r="D115" s="36">
        <f t="shared" si="6"/>
        <v>0</v>
      </c>
      <c r="E115" s="109">
        <f t="shared" si="7"/>
        <v>0</v>
      </c>
      <c r="F115" s="1073">
        <f t="shared" si="8"/>
        <v>0</v>
      </c>
      <c r="G115" s="1082">
        <f t="shared" si="9"/>
        <v>0</v>
      </c>
      <c r="H115" s="637">
        <f t="shared" si="10"/>
        <v>0</v>
      </c>
      <c r="I115" s="109">
        <f t="shared" si="11"/>
        <v>0</v>
      </c>
      <c r="J115" s="109">
        <f t="shared" si="12"/>
        <v>0</v>
      </c>
      <c r="K115" s="60">
        <f t="shared" si="13"/>
        <v>0</v>
      </c>
    </row>
    <row r="116" spans="2:11" x14ac:dyDescent="0.2">
      <c r="B116" s="1085">
        <f t="shared" si="14"/>
        <v>44805</v>
      </c>
      <c r="C116" s="36">
        <f t="shared" si="5"/>
        <v>0</v>
      </c>
      <c r="D116" s="36">
        <f t="shared" si="6"/>
        <v>0</v>
      </c>
      <c r="E116" s="109">
        <f t="shared" si="7"/>
        <v>0</v>
      </c>
      <c r="F116" s="1073">
        <f t="shared" si="8"/>
        <v>0</v>
      </c>
      <c r="G116" s="1082">
        <f t="shared" si="9"/>
        <v>0</v>
      </c>
      <c r="H116" s="637">
        <f t="shared" si="10"/>
        <v>0</v>
      </c>
      <c r="I116" s="109">
        <f t="shared" si="11"/>
        <v>0</v>
      </c>
      <c r="J116" s="109">
        <f t="shared" si="12"/>
        <v>0</v>
      </c>
      <c r="K116" s="60">
        <f t="shared" si="13"/>
        <v>0</v>
      </c>
    </row>
    <row r="117" spans="2:11" x14ac:dyDescent="0.2">
      <c r="B117" s="1085">
        <f t="shared" si="14"/>
        <v>44835</v>
      </c>
      <c r="C117" s="36">
        <f t="shared" si="5"/>
        <v>0</v>
      </c>
      <c r="D117" s="36">
        <f t="shared" si="6"/>
        <v>0</v>
      </c>
      <c r="E117" s="109">
        <f t="shared" si="7"/>
        <v>0</v>
      </c>
      <c r="F117" s="1073">
        <f t="shared" si="8"/>
        <v>0</v>
      </c>
      <c r="G117" s="1082">
        <f t="shared" si="9"/>
        <v>0</v>
      </c>
      <c r="H117" s="637">
        <f t="shared" si="10"/>
        <v>0</v>
      </c>
      <c r="I117" s="109">
        <f t="shared" si="11"/>
        <v>0</v>
      </c>
      <c r="J117" s="109">
        <f t="shared" si="12"/>
        <v>0</v>
      </c>
      <c r="K117" s="60">
        <f t="shared" si="13"/>
        <v>0</v>
      </c>
    </row>
    <row r="118" spans="2:11" x14ac:dyDescent="0.2">
      <c r="B118" s="1085">
        <f t="shared" si="14"/>
        <v>44866</v>
      </c>
      <c r="C118" s="36">
        <f t="shared" si="5"/>
        <v>0</v>
      </c>
      <c r="D118" s="36">
        <f t="shared" si="6"/>
        <v>0</v>
      </c>
      <c r="E118" s="109">
        <f t="shared" si="7"/>
        <v>0</v>
      </c>
      <c r="F118" s="1073">
        <f t="shared" si="8"/>
        <v>0</v>
      </c>
      <c r="G118" s="1082">
        <f t="shared" si="9"/>
        <v>0</v>
      </c>
      <c r="H118" s="637">
        <f t="shared" si="10"/>
        <v>0</v>
      </c>
      <c r="I118" s="109">
        <f t="shared" si="11"/>
        <v>0</v>
      </c>
      <c r="J118" s="109">
        <f t="shared" si="12"/>
        <v>0</v>
      </c>
      <c r="K118" s="60">
        <f t="shared" si="13"/>
        <v>0</v>
      </c>
    </row>
    <row r="119" spans="2:11" s="1" customFormat="1" x14ac:dyDescent="0.2">
      <c r="B119" s="1105">
        <f t="shared" si="14"/>
        <v>44896</v>
      </c>
      <c r="C119" s="1087">
        <f t="shared" si="5"/>
        <v>0</v>
      </c>
      <c r="D119" s="1087">
        <f t="shared" si="6"/>
        <v>0</v>
      </c>
      <c r="E119" s="1106">
        <f t="shared" si="7"/>
        <v>0</v>
      </c>
      <c r="F119" s="84">
        <f t="shared" si="8"/>
        <v>0</v>
      </c>
      <c r="G119" s="1083">
        <f t="shared" si="9"/>
        <v>0</v>
      </c>
      <c r="H119" s="1079">
        <f t="shared" si="10"/>
        <v>0</v>
      </c>
      <c r="I119" s="814">
        <f t="shared" si="11"/>
        <v>0</v>
      </c>
      <c r="J119" s="814">
        <f t="shared" si="12"/>
        <v>0</v>
      </c>
      <c r="K119" s="1070">
        <f t="shared" si="13"/>
        <v>0</v>
      </c>
    </row>
    <row r="120" spans="2:11" x14ac:dyDescent="0.2">
      <c r="B120" s="1085">
        <f t="shared" si="14"/>
        <v>44927</v>
      </c>
      <c r="C120" s="36">
        <f t="shared" si="5"/>
        <v>0</v>
      </c>
      <c r="D120" s="36">
        <f t="shared" si="6"/>
        <v>0</v>
      </c>
      <c r="E120" s="109">
        <f t="shared" si="7"/>
        <v>0</v>
      </c>
      <c r="F120" s="1073">
        <f t="shared" si="8"/>
        <v>0</v>
      </c>
      <c r="G120" s="1084">
        <f t="shared" si="9"/>
        <v>0</v>
      </c>
    </row>
    <row r="121" spans="2:11" x14ac:dyDescent="0.2">
      <c r="B121" s="1085">
        <f t="shared" si="14"/>
        <v>44958</v>
      </c>
      <c r="C121" s="36">
        <f t="shared" si="5"/>
        <v>0</v>
      </c>
      <c r="D121" s="36">
        <f t="shared" si="6"/>
        <v>0</v>
      </c>
      <c r="E121" s="109">
        <f t="shared" si="7"/>
        <v>0</v>
      </c>
      <c r="F121" s="1073">
        <f t="shared" si="8"/>
        <v>0</v>
      </c>
      <c r="G121" s="1082">
        <f t="shared" si="9"/>
        <v>0</v>
      </c>
    </row>
    <row r="122" spans="2:11" x14ac:dyDescent="0.2">
      <c r="B122" s="1085">
        <f t="shared" si="14"/>
        <v>44986</v>
      </c>
      <c r="C122" s="36">
        <f t="shared" si="5"/>
        <v>0</v>
      </c>
      <c r="D122" s="36">
        <f t="shared" si="6"/>
        <v>0</v>
      </c>
      <c r="E122" s="109">
        <f t="shared" si="7"/>
        <v>0</v>
      </c>
      <c r="F122" s="1073">
        <f t="shared" si="8"/>
        <v>0</v>
      </c>
      <c r="G122" s="1082">
        <f t="shared" si="9"/>
        <v>0</v>
      </c>
    </row>
    <row r="123" spans="2:11" x14ac:dyDescent="0.2">
      <c r="B123" s="1085">
        <f t="shared" si="14"/>
        <v>45017</v>
      </c>
      <c r="C123" s="36">
        <f t="shared" si="5"/>
        <v>0</v>
      </c>
      <c r="D123" s="36">
        <f t="shared" si="6"/>
        <v>0</v>
      </c>
      <c r="E123" s="109">
        <f t="shared" si="7"/>
        <v>0</v>
      </c>
      <c r="F123" s="1073">
        <f t="shared" si="8"/>
        <v>0</v>
      </c>
      <c r="G123" s="1082">
        <f t="shared" si="9"/>
        <v>0</v>
      </c>
    </row>
    <row r="124" spans="2:11" x14ac:dyDescent="0.2">
      <c r="B124" s="1085">
        <f t="shared" si="14"/>
        <v>45047</v>
      </c>
      <c r="C124" s="36">
        <f t="shared" si="5"/>
        <v>0</v>
      </c>
      <c r="D124" s="36">
        <f t="shared" si="6"/>
        <v>0</v>
      </c>
      <c r="E124" s="109">
        <f t="shared" si="7"/>
        <v>0</v>
      </c>
      <c r="F124" s="1073">
        <f t="shared" si="8"/>
        <v>0</v>
      </c>
      <c r="G124" s="1082">
        <f t="shared" si="9"/>
        <v>0</v>
      </c>
    </row>
    <row r="125" spans="2:11" x14ac:dyDescent="0.2">
      <c r="B125" s="1085">
        <f t="shared" si="14"/>
        <v>45078</v>
      </c>
      <c r="C125" s="36">
        <f t="shared" si="5"/>
        <v>0</v>
      </c>
      <c r="D125" s="36">
        <f t="shared" si="6"/>
        <v>0</v>
      </c>
      <c r="E125" s="109">
        <f t="shared" si="7"/>
        <v>0</v>
      </c>
      <c r="F125" s="1073">
        <f t="shared" si="8"/>
        <v>0</v>
      </c>
      <c r="G125" s="1082">
        <f t="shared" si="9"/>
        <v>0</v>
      </c>
    </row>
    <row r="126" spans="2:11" x14ac:dyDescent="0.2">
      <c r="B126" s="1085">
        <f t="shared" si="14"/>
        <v>45108</v>
      </c>
      <c r="C126" s="36">
        <f t="shared" si="5"/>
        <v>0</v>
      </c>
      <c r="D126" s="36">
        <f t="shared" si="6"/>
        <v>0</v>
      </c>
      <c r="E126" s="109">
        <f t="shared" si="7"/>
        <v>0</v>
      </c>
      <c r="F126" s="1073">
        <f t="shared" si="8"/>
        <v>0</v>
      </c>
      <c r="G126" s="1082">
        <f t="shared" si="9"/>
        <v>0</v>
      </c>
    </row>
    <row r="127" spans="2:11" x14ac:dyDescent="0.2">
      <c r="B127" s="1085">
        <f t="shared" si="14"/>
        <v>45139</v>
      </c>
      <c r="C127" s="36">
        <f t="shared" si="5"/>
        <v>0</v>
      </c>
      <c r="D127" s="36">
        <f t="shared" si="6"/>
        <v>0</v>
      </c>
      <c r="E127" s="109">
        <f t="shared" si="7"/>
        <v>0</v>
      </c>
      <c r="F127" s="1073">
        <f t="shared" si="8"/>
        <v>0</v>
      </c>
      <c r="G127" s="1082">
        <f t="shared" si="9"/>
        <v>0</v>
      </c>
    </row>
    <row r="128" spans="2:11" x14ac:dyDescent="0.2">
      <c r="B128" s="1085">
        <f t="shared" si="14"/>
        <v>45170</v>
      </c>
      <c r="C128" s="36">
        <f t="shared" si="5"/>
        <v>0</v>
      </c>
      <c r="D128" s="36">
        <f t="shared" si="6"/>
        <v>0</v>
      </c>
      <c r="E128" s="109">
        <f t="shared" si="7"/>
        <v>0</v>
      </c>
      <c r="F128" s="1073">
        <f t="shared" si="8"/>
        <v>0</v>
      </c>
      <c r="G128" s="1082">
        <f t="shared" si="9"/>
        <v>0</v>
      </c>
    </row>
    <row r="129" spans="2:7" x14ac:dyDescent="0.2">
      <c r="B129" s="1085">
        <f t="shared" si="14"/>
        <v>45200</v>
      </c>
      <c r="C129" s="36">
        <f t="shared" si="5"/>
        <v>0</v>
      </c>
      <c r="D129" s="36">
        <f t="shared" si="6"/>
        <v>0</v>
      </c>
      <c r="E129" s="109">
        <f t="shared" si="7"/>
        <v>0</v>
      </c>
      <c r="F129" s="1073">
        <f t="shared" si="8"/>
        <v>0</v>
      </c>
      <c r="G129" s="1082">
        <f t="shared" si="9"/>
        <v>0</v>
      </c>
    </row>
    <row r="130" spans="2:7" x14ac:dyDescent="0.2">
      <c r="B130" s="1085">
        <f t="shared" si="14"/>
        <v>45231</v>
      </c>
      <c r="C130" s="36">
        <f t="shared" si="5"/>
        <v>0</v>
      </c>
      <c r="D130" s="36">
        <f t="shared" si="6"/>
        <v>0</v>
      </c>
      <c r="E130" s="109">
        <f t="shared" si="7"/>
        <v>0</v>
      </c>
      <c r="F130" s="1073">
        <f t="shared" si="8"/>
        <v>0</v>
      </c>
      <c r="G130" s="1082">
        <f t="shared" si="9"/>
        <v>0</v>
      </c>
    </row>
    <row r="131" spans="2:7" ht="13.5" thickBot="1" x14ac:dyDescent="0.25">
      <c r="B131" s="1086">
        <f t="shared" si="14"/>
        <v>45261</v>
      </c>
      <c r="C131" s="1087">
        <f t="shared" si="5"/>
        <v>0</v>
      </c>
      <c r="D131" s="1087">
        <f t="shared" si="6"/>
        <v>0</v>
      </c>
      <c r="E131" s="1106">
        <f t="shared" si="7"/>
        <v>0</v>
      </c>
      <c r="F131" s="691">
        <f t="shared" si="8"/>
        <v>0</v>
      </c>
      <c r="G131" s="1104">
        <f t="shared" si="9"/>
        <v>0</v>
      </c>
    </row>
    <row r="135" spans="2:7" ht="24" customHeight="1" x14ac:dyDescent="0.2">
      <c r="B135" s="1" t="s">
        <v>674</v>
      </c>
      <c r="C135" s="1451" t="s">
        <v>675</v>
      </c>
      <c r="D135" s="1452"/>
      <c r="E135" s="1451" t="s">
        <v>282</v>
      </c>
      <c r="F135" s="1452"/>
    </row>
    <row r="136" spans="2:7" x14ac:dyDescent="0.2">
      <c r="B136" s="1088" t="s">
        <v>641</v>
      </c>
      <c r="C136" s="1088" t="s">
        <v>642</v>
      </c>
      <c r="D136" s="1088" t="s">
        <v>676</v>
      </c>
      <c r="E136" s="1088" t="s">
        <v>642</v>
      </c>
      <c r="F136" s="1088" t="s">
        <v>676</v>
      </c>
    </row>
    <row r="137" spans="2:7" x14ac:dyDescent="0.2">
      <c r="B137" s="109">
        <v>1</v>
      </c>
      <c r="C137" s="35">
        <f>C19</f>
        <v>43831</v>
      </c>
      <c r="D137" s="36" t="e">
        <f t="shared" ref="D137:D142" si="15">IF(C137="0",0,$C$17)</f>
        <v>#DIV/0!</v>
      </c>
      <c r="E137" s="35">
        <f>D19</f>
        <v>43831</v>
      </c>
      <c r="F137" s="36">
        <f>IF(E137="0",0,$D$17)</f>
        <v>0</v>
      </c>
    </row>
    <row r="138" spans="2:7" x14ac:dyDescent="0.2">
      <c r="B138" s="109">
        <f>B137+1</f>
        <v>2</v>
      </c>
      <c r="C138" s="35" t="str">
        <f>IF(B138&lt;=$C$15,DATE(YEAR(C137),MONTH(C137)+12/$C$16,DAY(C137)),"0")</f>
        <v>0</v>
      </c>
      <c r="D138" s="36">
        <f t="shared" si="15"/>
        <v>0</v>
      </c>
      <c r="E138" s="35">
        <f>'Entrada Inver_Finan'!F12209</f>
        <v>0</v>
      </c>
      <c r="F138" s="36">
        <f t="shared" ref="F138:F184" si="16">IF(E138="0",0,$D$17)</f>
        <v>0</v>
      </c>
    </row>
    <row r="139" spans="2:7" x14ac:dyDescent="0.2">
      <c r="B139" s="109">
        <f t="shared" ref="B139:B184" si="17">B138+1</f>
        <v>3</v>
      </c>
      <c r="C139" s="35" t="str">
        <f t="shared" ref="C139:C184" si="18">IF(B139&lt;=$C$15,DATE(YEAR(C138),MONTH(C138)+12/$C$16,DAY(C138)),"0")</f>
        <v>0</v>
      </c>
      <c r="D139" s="36">
        <f t="shared" si="15"/>
        <v>0</v>
      </c>
      <c r="E139" s="35" t="str">
        <f t="shared" ref="E139:E184" si="19">IF(B139&lt;=$D$15,DATE(YEAR(E138),MONTH(E138)+12/$D$16,DAY(E138)),"0")</f>
        <v>0</v>
      </c>
      <c r="F139" s="36">
        <f t="shared" si="16"/>
        <v>0</v>
      </c>
    </row>
    <row r="140" spans="2:7" x14ac:dyDescent="0.2">
      <c r="B140" s="109">
        <f t="shared" si="17"/>
        <v>4</v>
      </c>
      <c r="C140" s="35" t="str">
        <f t="shared" si="18"/>
        <v>0</v>
      </c>
      <c r="D140" s="36">
        <f t="shared" si="15"/>
        <v>0</v>
      </c>
      <c r="E140" s="35" t="str">
        <f t="shared" si="19"/>
        <v>0</v>
      </c>
      <c r="F140" s="36">
        <f t="shared" si="16"/>
        <v>0</v>
      </c>
    </row>
    <row r="141" spans="2:7" x14ac:dyDescent="0.2">
      <c r="B141" s="109">
        <f t="shared" si="17"/>
        <v>5</v>
      </c>
      <c r="C141" s="35" t="str">
        <f t="shared" si="18"/>
        <v>0</v>
      </c>
      <c r="D141" s="36">
        <f t="shared" si="15"/>
        <v>0</v>
      </c>
      <c r="E141" s="35" t="str">
        <f t="shared" si="19"/>
        <v>0</v>
      </c>
      <c r="F141" s="36">
        <f t="shared" si="16"/>
        <v>0</v>
      </c>
    </row>
    <row r="142" spans="2:7" x14ac:dyDescent="0.2">
      <c r="B142" s="109">
        <f t="shared" si="17"/>
        <v>6</v>
      </c>
      <c r="C142" s="35" t="str">
        <f t="shared" si="18"/>
        <v>0</v>
      </c>
      <c r="D142" s="36">
        <f t="shared" si="15"/>
        <v>0</v>
      </c>
      <c r="E142" s="35" t="str">
        <f t="shared" si="19"/>
        <v>0</v>
      </c>
      <c r="F142" s="36">
        <f t="shared" si="16"/>
        <v>0</v>
      </c>
    </row>
    <row r="143" spans="2:7" x14ac:dyDescent="0.2">
      <c r="B143" s="109">
        <f t="shared" si="17"/>
        <v>7</v>
      </c>
      <c r="C143" s="35" t="str">
        <f t="shared" si="18"/>
        <v>0</v>
      </c>
      <c r="D143" s="36">
        <f t="shared" ref="D143:D184" si="20">IF(C143="0",0,$C$17)</f>
        <v>0</v>
      </c>
      <c r="E143" s="35" t="str">
        <f t="shared" si="19"/>
        <v>0</v>
      </c>
      <c r="F143" s="36">
        <f t="shared" si="16"/>
        <v>0</v>
      </c>
    </row>
    <row r="144" spans="2:7" x14ac:dyDescent="0.2">
      <c r="B144" s="109">
        <f t="shared" si="17"/>
        <v>8</v>
      </c>
      <c r="C144" s="35" t="str">
        <f t="shared" si="18"/>
        <v>0</v>
      </c>
      <c r="D144" s="36">
        <f t="shared" si="20"/>
        <v>0</v>
      </c>
      <c r="E144" s="35" t="str">
        <f t="shared" si="19"/>
        <v>0</v>
      </c>
      <c r="F144" s="36">
        <f t="shared" si="16"/>
        <v>0</v>
      </c>
    </row>
    <row r="145" spans="2:6" x14ac:dyDescent="0.2">
      <c r="B145" s="109">
        <f t="shared" si="17"/>
        <v>9</v>
      </c>
      <c r="C145" s="35" t="str">
        <f t="shared" si="18"/>
        <v>0</v>
      </c>
      <c r="D145" s="36">
        <f t="shared" si="20"/>
        <v>0</v>
      </c>
      <c r="E145" s="35" t="str">
        <f t="shared" si="19"/>
        <v>0</v>
      </c>
      <c r="F145" s="36">
        <f t="shared" si="16"/>
        <v>0</v>
      </c>
    </row>
    <row r="146" spans="2:6" x14ac:dyDescent="0.2">
      <c r="B146" s="109">
        <f t="shared" si="17"/>
        <v>10</v>
      </c>
      <c r="C146" s="35" t="str">
        <f t="shared" si="18"/>
        <v>0</v>
      </c>
      <c r="D146" s="36">
        <f t="shared" si="20"/>
        <v>0</v>
      </c>
      <c r="E146" s="35" t="str">
        <f t="shared" si="19"/>
        <v>0</v>
      </c>
      <c r="F146" s="36">
        <f t="shared" si="16"/>
        <v>0</v>
      </c>
    </row>
    <row r="147" spans="2:6" x14ac:dyDescent="0.2">
      <c r="B147" s="109">
        <f t="shared" si="17"/>
        <v>11</v>
      </c>
      <c r="C147" s="35" t="str">
        <f t="shared" si="18"/>
        <v>0</v>
      </c>
      <c r="D147" s="36">
        <f t="shared" si="20"/>
        <v>0</v>
      </c>
      <c r="E147" s="35" t="str">
        <f t="shared" si="19"/>
        <v>0</v>
      </c>
      <c r="F147" s="36">
        <f t="shared" si="16"/>
        <v>0</v>
      </c>
    </row>
    <row r="148" spans="2:6" x14ac:dyDescent="0.2">
      <c r="B148" s="109">
        <f t="shared" si="17"/>
        <v>12</v>
      </c>
      <c r="C148" s="35" t="str">
        <f t="shared" si="18"/>
        <v>0</v>
      </c>
      <c r="D148" s="36">
        <f t="shared" si="20"/>
        <v>0</v>
      </c>
      <c r="E148" s="35" t="str">
        <f t="shared" si="19"/>
        <v>0</v>
      </c>
      <c r="F148" s="36">
        <f t="shared" si="16"/>
        <v>0</v>
      </c>
    </row>
    <row r="149" spans="2:6" x14ac:dyDescent="0.2">
      <c r="B149" s="109">
        <f t="shared" si="17"/>
        <v>13</v>
      </c>
      <c r="C149" s="35" t="str">
        <f t="shared" si="18"/>
        <v>0</v>
      </c>
      <c r="D149" s="36">
        <f t="shared" si="20"/>
        <v>0</v>
      </c>
      <c r="E149" s="35" t="str">
        <f t="shared" si="19"/>
        <v>0</v>
      </c>
      <c r="F149" s="36">
        <f t="shared" si="16"/>
        <v>0</v>
      </c>
    </row>
    <row r="150" spans="2:6" x14ac:dyDescent="0.2">
      <c r="B150" s="109">
        <f t="shared" si="17"/>
        <v>14</v>
      </c>
      <c r="C150" s="35" t="str">
        <f t="shared" si="18"/>
        <v>0</v>
      </c>
      <c r="D150" s="36">
        <f t="shared" si="20"/>
        <v>0</v>
      </c>
      <c r="E150" s="35" t="str">
        <f t="shared" si="19"/>
        <v>0</v>
      </c>
      <c r="F150" s="36">
        <f t="shared" si="16"/>
        <v>0</v>
      </c>
    </row>
    <row r="151" spans="2:6" x14ac:dyDescent="0.2">
      <c r="B151" s="109">
        <f t="shared" si="17"/>
        <v>15</v>
      </c>
      <c r="C151" s="35" t="str">
        <f t="shared" si="18"/>
        <v>0</v>
      </c>
      <c r="D151" s="36">
        <f t="shared" si="20"/>
        <v>0</v>
      </c>
      <c r="E151" s="35" t="str">
        <f t="shared" si="19"/>
        <v>0</v>
      </c>
      <c r="F151" s="36">
        <f t="shared" si="16"/>
        <v>0</v>
      </c>
    </row>
    <row r="152" spans="2:6" x14ac:dyDescent="0.2">
      <c r="B152" s="109">
        <f t="shared" si="17"/>
        <v>16</v>
      </c>
      <c r="C152" s="35" t="str">
        <f t="shared" si="18"/>
        <v>0</v>
      </c>
      <c r="D152" s="36">
        <f t="shared" si="20"/>
        <v>0</v>
      </c>
      <c r="E152" s="35" t="str">
        <f t="shared" si="19"/>
        <v>0</v>
      </c>
      <c r="F152" s="36">
        <f t="shared" si="16"/>
        <v>0</v>
      </c>
    </row>
    <row r="153" spans="2:6" x14ac:dyDescent="0.2">
      <c r="B153" s="109">
        <f t="shared" si="17"/>
        <v>17</v>
      </c>
      <c r="C153" s="35" t="str">
        <f t="shared" si="18"/>
        <v>0</v>
      </c>
      <c r="D153" s="36">
        <f t="shared" si="20"/>
        <v>0</v>
      </c>
      <c r="E153" s="35" t="str">
        <f t="shared" si="19"/>
        <v>0</v>
      </c>
      <c r="F153" s="36">
        <f t="shared" si="16"/>
        <v>0</v>
      </c>
    </row>
    <row r="154" spans="2:6" x14ac:dyDescent="0.2">
      <c r="B154" s="109">
        <f t="shared" si="17"/>
        <v>18</v>
      </c>
      <c r="C154" s="35" t="str">
        <f t="shared" si="18"/>
        <v>0</v>
      </c>
      <c r="D154" s="36">
        <f t="shared" si="20"/>
        <v>0</v>
      </c>
      <c r="E154" s="35" t="str">
        <f t="shared" si="19"/>
        <v>0</v>
      </c>
      <c r="F154" s="36">
        <f t="shared" si="16"/>
        <v>0</v>
      </c>
    </row>
    <row r="155" spans="2:6" x14ac:dyDescent="0.2">
      <c r="B155" s="109">
        <f t="shared" si="17"/>
        <v>19</v>
      </c>
      <c r="C155" s="35" t="str">
        <f t="shared" si="18"/>
        <v>0</v>
      </c>
      <c r="D155" s="36">
        <f t="shared" si="20"/>
        <v>0</v>
      </c>
      <c r="E155" s="35" t="str">
        <f t="shared" si="19"/>
        <v>0</v>
      </c>
      <c r="F155" s="36">
        <f t="shared" si="16"/>
        <v>0</v>
      </c>
    </row>
    <row r="156" spans="2:6" x14ac:dyDescent="0.2">
      <c r="B156" s="109">
        <f t="shared" si="17"/>
        <v>20</v>
      </c>
      <c r="C156" s="35" t="str">
        <f t="shared" si="18"/>
        <v>0</v>
      </c>
      <c r="D156" s="36">
        <f t="shared" si="20"/>
        <v>0</v>
      </c>
      <c r="E156" s="35" t="str">
        <f t="shared" si="19"/>
        <v>0</v>
      </c>
      <c r="F156" s="36">
        <f t="shared" si="16"/>
        <v>0</v>
      </c>
    </row>
    <row r="157" spans="2:6" x14ac:dyDescent="0.2">
      <c r="B157" s="109">
        <f t="shared" si="17"/>
        <v>21</v>
      </c>
      <c r="C157" s="35" t="str">
        <f t="shared" si="18"/>
        <v>0</v>
      </c>
      <c r="D157" s="36">
        <f t="shared" si="20"/>
        <v>0</v>
      </c>
      <c r="E157" s="35" t="str">
        <f t="shared" si="19"/>
        <v>0</v>
      </c>
      <c r="F157" s="36">
        <f t="shared" si="16"/>
        <v>0</v>
      </c>
    </row>
    <row r="158" spans="2:6" x14ac:dyDescent="0.2">
      <c r="B158" s="109">
        <f t="shared" si="17"/>
        <v>22</v>
      </c>
      <c r="C158" s="35" t="str">
        <f t="shared" si="18"/>
        <v>0</v>
      </c>
      <c r="D158" s="36">
        <f t="shared" si="20"/>
        <v>0</v>
      </c>
      <c r="E158" s="35" t="str">
        <f t="shared" si="19"/>
        <v>0</v>
      </c>
      <c r="F158" s="36">
        <f t="shared" si="16"/>
        <v>0</v>
      </c>
    </row>
    <row r="159" spans="2:6" x14ac:dyDescent="0.2">
      <c r="B159" s="109">
        <f t="shared" si="17"/>
        <v>23</v>
      </c>
      <c r="C159" s="35" t="str">
        <f t="shared" si="18"/>
        <v>0</v>
      </c>
      <c r="D159" s="36">
        <f t="shared" si="20"/>
        <v>0</v>
      </c>
      <c r="E159" s="35" t="str">
        <f t="shared" si="19"/>
        <v>0</v>
      </c>
      <c r="F159" s="36">
        <f t="shared" si="16"/>
        <v>0</v>
      </c>
    </row>
    <row r="160" spans="2:6" x14ac:dyDescent="0.2">
      <c r="B160" s="109">
        <f t="shared" si="17"/>
        <v>24</v>
      </c>
      <c r="C160" s="35" t="str">
        <f t="shared" si="18"/>
        <v>0</v>
      </c>
      <c r="D160" s="36">
        <f t="shared" si="20"/>
        <v>0</v>
      </c>
      <c r="E160" s="35" t="str">
        <f t="shared" si="19"/>
        <v>0</v>
      </c>
      <c r="F160" s="36">
        <f t="shared" si="16"/>
        <v>0</v>
      </c>
    </row>
    <row r="161" spans="2:6" x14ac:dyDescent="0.2">
      <c r="B161" s="109">
        <f t="shared" si="17"/>
        <v>25</v>
      </c>
      <c r="C161" s="35" t="str">
        <f t="shared" si="18"/>
        <v>0</v>
      </c>
      <c r="D161" s="36">
        <f t="shared" si="20"/>
        <v>0</v>
      </c>
      <c r="E161" s="35" t="str">
        <f t="shared" si="19"/>
        <v>0</v>
      </c>
      <c r="F161" s="36">
        <f t="shared" si="16"/>
        <v>0</v>
      </c>
    </row>
    <row r="162" spans="2:6" x14ac:dyDescent="0.2">
      <c r="B162" s="109">
        <f t="shared" si="17"/>
        <v>26</v>
      </c>
      <c r="C162" s="35" t="str">
        <f t="shared" si="18"/>
        <v>0</v>
      </c>
      <c r="D162" s="36">
        <f t="shared" si="20"/>
        <v>0</v>
      </c>
      <c r="E162" s="35" t="str">
        <f t="shared" si="19"/>
        <v>0</v>
      </c>
      <c r="F162" s="36">
        <f t="shared" si="16"/>
        <v>0</v>
      </c>
    </row>
    <row r="163" spans="2:6" x14ac:dyDescent="0.2">
      <c r="B163" s="109">
        <f t="shared" si="17"/>
        <v>27</v>
      </c>
      <c r="C163" s="35" t="str">
        <f t="shared" si="18"/>
        <v>0</v>
      </c>
      <c r="D163" s="36">
        <f t="shared" si="20"/>
        <v>0</v>
      </c>
      <c r="E163" s="35" t="str">
        <f t="shared" si="19"/>
        <v>0</v>
      </c>
      <c r="F163" s="36">
        <f t="shared" si="16"/>
        <v>0</v>
      </c>
    </row>
    <row r="164" spans="2:6" x14ac:dyDescent="0.2">
      <c r="B164" s="109">
        <f t="shared" si="17"/>
        <v>28</v>
      </c>
      <c r="C164" s="35" t="str">
        <f t="shared" si="18"/>
        <v>0</v>
      </c>
      <c r="D164" s="36">
        <f t="shared" si="20"/>
        <v>0</v>
      </c>
      <c r="E164" s="35" t="str">
        <f t="shared" si="19"/>
        <v>0</v>
      </c>
      <c r="F164" s="36">
        <f t="shared" si="16"/>
        <v>0</v>
      </c>
    </row>
    <row r="165" spans="2:6" x14ac:dyDescent="0.2">
      <c r="B165" s="109">
        <f t="shared" si="17"/>
        <v>29</v>
      </c>
      <c r="C165" s="35" t="str">
        <f t="shared" si="18"/>
        <v>0</v>
      </c>
      <c r="D165" s="36">
        <f t="shared" si="20"/>
        <v>0</v>
      </c>
      <c r="E165" s="35" t="str">
        <f t="shared" si="19"/>
        <v>0</v>
      </c>
      <c r="F165" s="36">
        <f t="shared" si="16"/>
        <v>0</v>
      </c>
    </row>
    <row r="166" spans="2:6" x14ac:dyDescent="0.2">
      <c r="B166" s="109">
        <f t="shared" si="17"/>
        <v>30</v>
      </c>
      <c r="C166" s="35" t="str">
        <f t="shared" si="18"/>
        <v>0</v>
      </c>
      <c r="D166" s="36">
        <f t="shared" si="20"/>
        <v>0</v>
      </c>
      <c r="E166" s="35" t="str">
        <f t="shared" si="19"/>
        <v>0</v>
      </c>
      <c r="F166" s="36">
        <f t="shared" si="16"/>
        <v>0</v>
      </c>
    </row>
    <row r="167" spans="2:6" x14ac:dyDescent="0.2">
      <c r="B167" s="109">
        <f t="shared" si="17"/>
        <v>31</v>
      </c>
      <c r="C167" s="35" t="str">
        <f t="shared" si="18"/>
        <v>0</v>
      </c>
      <c r="D167" s="36">
        <f t="shared" si="20"/>
        <v>0</v>
      </c>
      <c r="E167" s="35" t="str">
        <f t="shared" si="19"/>
        <v>0</v>
      </c>
      <c r="F167" s="36">
        <f t="shared" si="16"/>
        <v>0</v>
      </c>
    </row>
    <row r="168" spans="2:6" x14ac:dyDescent="0.2">
      <c r="B168" s="109">
        <f t="shared" si="17"/>
        <v>32</v>
      </c>
      <c r="C168" s="35" t="str">
        <f t="shared" si="18"/>
        <v>0</v>
      </c>
      <c r="D168" s="36">
        <f t="shared" si="20"/>
        <v>0</v>
      </c>
      <c r="E168" s="35" t="str">
        <f t="shared" si="19"/>
        <v>0</v>
      </c>
      <c r="F168" s="36">
        <f t="shared" si="16"/>
        <v>0</v>
      </c>
    </row>
    <row r="169" spans="2:6" x14ac:dyDescent="0.2">
      <c r="B169" s="109">
        <f t="shared" si="17"/>
        <v>33</v>
      </c>
      <c r="C169" s="35" t="str">
        <f t="shared" si="18"/>
        <v>0</v>
      </c>
      <c r="D169" s="36">
        <f t="shared" si="20"/>
        <v>0</v>
      </c>
      <c r="E169" s="35" t="str">
        <f t="shared" si="19"/>
        <v>0</v>
      </c>
      <c r="F169" s="36">
        <f t="shared" si="16"/>
        <v>0</v>
      </c>
    </row>
    <row r="170" spans="2:6" x14ac:dyDescent="0.2">
      <c r="B170" s="109">
        <f t="shared" si="17"/>
        <v>34</v>
      </c>
      <c r="C170" s="35" t="str">
        <f t="shared" si="18"/>
        <v>0</v>
      </c>
      <c r="D170" s="36">
        <f t="shared" si="20"/>
        <v>0</v>
      </c>
      <c r="E170" s="35" t="str">
        <f t="shared" si="19"/>
        <v>0</v>
      </c>
      <c r="F170" s="36">
        <f t="shared" si="16"/>
        <v>0</v>
      </c>
    </row>
    <row r="171" spans="2:6" x14ac:dyDescent="0.2">
      <c r="B171" s="109">
        <f t="shared" si="17"/>
        <v>35</v>
      </c>
      <c r="C171" s="35" t="str">
        <f t="shared" si="18"/>
        <v>0</v>
      </c>
      <c r="D171" s="36">
        <f t="shared" si="20"/>
        <v>0</v>
      </c>
      <c r="E171" s="35" t="str">
        <f t="shared" si="19"/>
        <v>0</v>
      </c>
      <c r="F171" s="36">
        <f t="shared" si="16"/>
        <v>0</v>
      </c>
    </row>
    <row r="172" spans="2:6" x14ac:dyDescent="0.2">
      <c r="B172" s="109">
        <f t="shared" si="17"/>
        <v>36</v>
      </c>
      <c r="C172" s="35" t="str">
        <f t="shared" si="18"/>
        <v>0</v>
      </c>
      <c r="D172" s="36">
        <f t="shared" si="20"/>
        <v>0</v>
      </c>
      <c r="E172" s="35" t="str">
        <f t="shared" si="19"/>
        <v>0</v>
      </c>
      <c r="F172" s="36">
        <f t="shared" si="16"/>
        <v>0</v>
      </c>
    </row>
    <row r="173" spans="2:6" x14ac:dyDescent="0.2">
      <c r="B173" s="109">
        <f t="shared" si="17"/>
        <v>37</v>
      </c>
      <c r="C173" s="35" t="str">
        <f t="shared" si="18"/>
        <v>0</v>
      </c>
      <c r="D173" s="36">
        <f t="shared" si="20"/>
        <v>0</v>
      </c>
      <c r="E173" s="35" t="str">
        <f t="shared" si="19"/>
        <v>0</v>
      </c>
      <c r="F173" s="36">
        <f t="shared" si="16"/>
        <v>0</v>
      </c>
    </row>
    <row r="174" spans="2:6" x14ac:dyDescent="0.2">
      <c r="B174" s="109">
        <f t="shared" si="17"/>
        <v>38</v>
      </c>
      <c r="C174" s="35" t="str">
        <f t="shared" si="18"/>
        <v>0</v>
      </c>
      <c r="D174" s="36">
        <f t="shared" si="20"/>
        <v>0</v>
      </c>
      <c r="E174" s="35" t="str">
        <f t="shared" si="19"/>
        <v>0</v>
      </c>
      <c r="F174" s="36">
        <f t="shared" si="16"/>
        <v>0</v>
      </c>
    </row>
    <row r="175" spans="2:6" x14ac:dyDescent="0.2">
      <c r="B175" s="109">
        <f t="shared" si="17"/>
        <v>39</v>
      </c>
      <c r="C175" s="35" t="str">
        <f t="shared" si="18"/>
        <v>0</v>
      </c>
      <c r="D175" s="36">
        <f t="shared" si="20"/>
        <v>0</v>
      </c>
      <c r="E175" s="35" t="str">
        <f t="shared" si="19"/>
        <v>0</v>
      </c>
      <c r="F175" s="36">
        <f t="shared" si="16"/>
        <v>0</v>
      </c>
    </row>
    <row r="176" spans="2:6" x14ac:dyDescent="0.2">
      <c r="B176" s="109">
        <f t="shared" si="17"/>
        <v>40</v>
      </c>
      <c r="C176" s="35" t="str">
        <f t="shared" si="18"/>
        <v>0</v>
      </c>
      <c r="D176" s="36">
        <f t="shared" si="20"/>
        <v>0</v>
      </c>
      <c r="E176" s="35" t="str">
        <f t="shared" si="19"/>
        <v>0</v>
      </c>
      <c r="F176" s="36">
        <f t="shared" si="16"/>
        <v>0</v>
      </c>
    </row>
    <row r="177" spans="2:6" x14ac:dyDescent="0.2">
      <c r="B177" s="109">
        <f t="shared" si="17"/>
        <v>41</v>
      </c>
      <c r="C177" s="35" t="str">
        <f t="shared" si="18"/>
        <v>0</v>
      </c>
      <c r="D177" s="36">
        <f t="shared" si="20"/>
        <v>0</v>
      </c>
      <c r="E177" s="35" t="str">
        <f t="shared" si="19"/>
        <v>0</v>
      </c>
      <c r="F177" s="36">
        <f t="shared" si="16"/>
        <v>0</v>
      </c>
    </row>
    <row r="178" spans="2:6" x14ac:dyDescent="0.2">
      <c r="B178" s="109">
        <f t="shared" si="17"/>
        <v>42</v>
      </c>
      <c r="C178" s="35" t="str">
        <f t="shared" si="18"/>
        <v>0</v>
      </c>
      <c r="D178" s="36">
        <f t="shared" si="20"/>
        <v>0</v>
      </c>
      <c r="E178" s="35" t="str">
        <f t="shared" si="19"/>
        <v>0</v>
      </c>
      <c r="F178" s="36">
        <f t="shared" si="16"/>
        <v>0</v>
      </c>
    </row>
    <row r="179" spans="2:6" x14ac:dyDescent="0.2">
      <c r="B179" s="109">
        <f t="shared" si="17"/>
        <v>43</v>
      </c>
      <c r="C179" s="35" t="str">
        <f t="shared" si="18"/>
        <v>0</v>
      </c>
      <c r="D179" s="36">
        <f t="shared" si="20"/>
        <v>0</v>
      </c>
      <c r="E179" s="35" t="str">
        <f t="shared" si="19"/>
        <v>0</v>
      </c>
      <c r="F179" s="36">
        <f t="shared" si="16"/>
        <v>0</v>
      </c>
    </row>
    <row r="180" spans="2:6" x14ac:dyDescent="0.2">
      <c r="B180" s="109">
        <f t="shared" si="17"/>
        <v>44</v>
      </c>
      <c r="C180" s="35" t="str">
        <f t="shared" si="18"/>
        <v>0</v>
      </c>
      <c r="D180" s="36">
        <f t="shared" si="20"/>
        <v>0</v>
      </c>
      <c r="E180" s="35" t="str">
        <f t="shared" si="19"/>
        <v>0</v>
      </c>
      <c r="F180" s="36">
        <f t="shared" si="16"/>
        <v>0</v>
      </c>
    </row>
    <row r="181" spans="2:6" x14ac:dyDescent="0.2">
      <c r="B181" s="109">
        <f t="shared" si="17"/>
        <v>45</v>
      </c>
      <c r="C181" s="35" t="str">
        <f t="shared" si="18"/>
        <v>0</v>
      </c>
      <c r="D181" s="36">
        <f t="shared" si="20"/>
        <v>0</v>
      </c>
      <c r="E181" s="35" t="str">
        <f t="shared" si="19"/>
        <v>0</v>
      </c>
      <c r="F181" s="36">
        <f t="shared" si="16"/>
        <v>0</v>
      </c>
    </row>
    <row r="182" spans="2:6" x14ac:dyDescent="0.2">
      <c r="B182" s="109">
        <f t="shared" si="17"/>
        <v>46</v>
      </c>
      <c r="C182" s="35" t="str">
        <f t="shared" si="18"/>
        <v>0</v>
      </c>
      <c r="D182" s="36">
        <f t="shared" si="20"/>
        <v>0</v>
      </c>
      <c r="E182" s="35" t="str">
        <f t="shared" si="19"/>
        <v>0</v>
      </c>
      <c r="F182" s="36">
        <f t="shared" si="16"/>
        <v>0</v>
      </c>
    </row>
    <row r="183" spans="2:6" x14ac:dyDescent="0.2">
      <c r="B183" s="109">
        <f t="shared" si="17"/>
        <v>47</v>
      </c>
      <c r="C183" s="35" t="str">
        <f t="shared" si="18"/>
        <v>0</v>
      </c>
      <c r="D183" s="36">
        <f t="shared" si="20"/>
        <v>0</v>
      </c>
      <c r="E183" s="35" t="str">
        <f t="shared" si="19"/>
        <v>0</v>
      </c>
      <c r="F183" s="36">
        <f t="shared" si="16"/>
        <v>0</v>
      </c>
    </row>
    <row r="184" spans="2:6" x14ac:dyDescent="0.2">
      <c r="B184" s="109">
        <f t="shared" si="17"/>
        <v>48</v>
      </c>
      <c r="C184" s="35" t="str">
        <f t="shared" si="18"/>
        <v>0</v>
      </c>
      <c r="D184" s="36">
        <f t="shared" si="20"/>
        <v>0</v>
      </c>
      <c r="E184" s="35" t="str">
        <f t="shared" si="19"/>
        <v>0</v>
      </c>
      <c r="F184" s="36">
        <f t="shared" si="16"/>
        <v>0</v>
      </c>
    </row>
  </sheetData>
  <sheetProtection password="CC4B" sheet="1"/>
  <mergeCells count="2">
    <mergeCell ref="C135:D135"/>
    <mergeCell ref="E135:F135"/>
  </mergeCells>
  <phoneticPr fontId="0" type="noConversion"/>
  <pageMargins left="0.75" right="0.75" top="1" bottom="1" header="0" footer="0"/>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7">
    <tabColor theme="6" tint="0.39997558519241921"/>
    <pageSetUpPr fitToPage="1"/>
  </sheetPr>
  <dimension ref="A2:P24"/>
  <sheetViews>
    <sheetView showGridLines="0" zoomScale="70" workbookViewId="0">
      <selection activeCell="K22" sqref="K22"/>
    </sheetView>
  </sheetViews>
  <sheetFormatPr baseColWidth="10" defaultColWidth="11.42578125" defaultRowHeight="12.75" x14ac:dyDescent="0.2"/>
  <cols>
    <col min="1" max="1" width="11.42578125" style="41"/>
    <col min="2" max="2" width="50.5703125" style="41" customWidth="1"/>
    <col min="3" max="6" width="15.7109375" style="41" customWidth="1"/>
    <col min="7" max="16384" width="11.42578125" style="41"/>
  </cols>
  <sheetData>
    <row r="2" spans="1:16" x14ac:dyDescent="0.2">
      <c r="A2"/>
      <c r="B2"/>
      <c r="C2" s="63"/>
      <c r="D2"/>
      <c r="E2"/>
      <c r="F2"/>
      <c r="G2"/>
      <c r="H2"/>
      <c r="I2"/>
      <c r="J2"/>
      <c r="K2"/>
      <c r="L2"/>
      <c r="M2"/>
      <c r="N2"/>
      <c r="O2"/>
      <c r="P2" s="29"/>
    </row>
    <row r="3" spans="1:16" ht="20.25" x14ac:dyDescent="0.3">
      <c r="A3"/>
      <c r="B3" s="1360" t="str">
        <f>'Datos generales'!C6</f>
        <v>Nombre de la empresa</v>
      </c>
      <c r="C3" s="1360"/>
      <c r="D3" s="1360"/>
      <c r="E3" s="1360"/>
      <c r="F3" s="1360"/>
      <c r="G3" s="1360"/>
      <c r="H3"/>
      <c r="I3"/>
      <c r="J3"/>
      <c r="K3"/>
      <c r="L3"/>
      <c r="M3"/>
      <c r="N3"/>
      <c r="O3"/>
      <c r="P3" s="29"/>
    </row>
    <row r="4" spans="1:16" x14ac:dyDescent="0.2">
      <c r="A4"/>
      <c r="B4"/>
      <c r="C4" s="63"/>
      <c r="D4"/>
      <c r="E4"/>
      <c r="F4"/>
      <c r="G4"/>
      <c r="H4"/>
      <c r="I4"/>
      <c r="J4"/>
      <c r="K4"/>
      <c r="L4"/>
      <c r="M4"/>
      <c r="N4"/>
      <c r="O4"/>
      <c r="P4" s="29"/>
    </row>
    <row r="5" spans="1:16" ht="26.25" x14ac:dyDescent="0.4">
      <c r="B5" s="138" t="s">
        <v>677</v>
      </c>
      <c r="C5" s="79"/>
      <c r="D5" s="80"/>
      <c r="E5" s="80"/>
      <c r="F5" s="81"/>
      <c r="G5" s="2"/>
    </row>
    <row r="6" spans="1:16" ht="26.25" x14ac:dyDescent="0.4">
      <c r="B6" s="138" t="s">
        <v>678</v>
      </c>
      <c r="C6" s="79"/>
      <c r="D6" s="81"/>
      <c r="E6" s="80"/>
      <c r="F6" s="81"/>
      <c r="G6" s="2"/>
    </row>
    <row r="7" spans="1:16" ht="12" customHeight="1" thickBot="1" x14ac:dyDescent="0.45">
      <c r="B7" s="138"/>
      <c r="C7" s="79"/>
      <c r="D7" s="81"/>
      <c r="E7" s="80"/>
      <c r="F7" s="81"/>
      <c r="G7" s="2"/>
    </row>
    <row r="8" spans="1:16" ht="32.25" thickTop="1" x14ac:dyDescent="0.25">
      <c r="B8" s="412" t="s">
        <v>170</v>
      </c>
      <c r="C8" s="415" t="s">
        <v>679</v>
      </c>
      <c r="D8" s="416" t="s">
        <v>3</v>
      </c>
      <c r="E8" s="416" t="s">
        <v>680</v>
      </c>
      <c r="F8" s="417" t="s">
        <v>5</v>
      </c>
      <c r="G8" s="82"/>
    </row>
    <row r="9" spans="1:16" ht="23.25" customHeight="1" x14ac:dyDescent="0.25">
      <c r="B9" s="420" t="s">
        <v>681</v>
      </c>
      <c r="F9" s="419"/>
      <c r="G9" s="2"/>
    </row>
    <row r="10" spans="1:16" ht="15.75" x14ac:dyDescent="0.25">
      <c r="B10" s="418" t="s">
        <v>682</v>
      </c>
      <c r="C10" s="918">
        <f>'PRESUPUESTO INICIAL INVER_FINAN'!F45</f>
        <v>0</v>
      </c>
      <c r="D10" s="918">
        <f>C10+'AMORTIZACION CONTABLE'!F25</f>
        <v>0</v>
      </c>
      <c r="E10" s="918">
        <f>D10-D11+'AMORTIZACION CONTABLE'!I25</f>
        <v>0</v>
      </c>
      <c r="F10" s="919">
        <f>E10-E11+'AMORTIZACION CONTABLE'!K25</f>
        <v>0</v>
      </c>
      <c r="G10" s="2"/>
    </row>
    <row r="11" spans="1:16" ht="15.75" x14ac:dyDescent="0.25">
      <c r="B11" s="413" t="s">
        <v>683</v>
      </c>
      <c r="C11" s="671"/>
      <c r="D11" s="671">
        <f>'AMORTIZACION CONTABLE'!H25</f>
        <v>0</v>
      </c>
      <c r="E11" s="671">
        <f>'AMORTIZACION CONTABLE'!J25</f>
        <v>0</v>
      </c>
      <c r="F11" s="920">
        <f>'AMORTIZACION CONTABLE'!L25</f>
        <v>0</v>
      </c>
      <c r="G11" s="2"/>
    </row>
    <row r="12" spans="1:16" ht="15.75" x14ac:dyDescent="0.25">
      <c r="B12" s="414" t="s">
        <v>684</v>
      </c>
      <c r="C12" s="921">
        <f>'PRESUPUESTO INICIAL INVER_FINAN'!F31</f>
        <v>0</v>
      </c>
      <c r="D12" s="921">
        <f>C12+'AMORTIZACION CONTABLE'!F36</f>
        <v>0</v>
      </c>
      <c r="E12" s="921">
        <f>D12-D13+'AMORTIZACION CONTABLE'!I36</f>
        <v>0</v>
      </c>
      <c r="F12" s="922">
        <f>E12-E13+'AMORTIZACION CONTABLE'!K36</f>
        <v>0</v>
      </c>
      <c r="G12" s="2"/>
    </row>
    <row r="13" spans="1:16" ht="15.75" x14ac:dyDescent="0.25">
      <c r="B13" s="413" t="s">
        <v>685</v>
      </c>
      <c r="C13" s="671"/>
      <c r="D13" s="671">
        <f>'AMORTIZACION CONTABLE'!H36</f>
        <v>0</v>
      </c>
      <c r="E13" s="671">
        <f>'AMORTIZACION CONTABLE'!J36</f>
        <v>0</v>
      </c>
      <c r="F13" s="920">
        <f>'AMORTIZACION CONTABLE'!L36</f>
        <v>0</v>
      </c>
      <c r="G13" s="2"/>
    </row>
    <row r="14" spans="1:16" ht="15.75" x14ac:dyDescent="0.25">
      <c r="B14" s="414" t="s">
        <v>686</v>
      </c>
      <c r="C14" s="921">
        <f>'PRESUPUESTO INICIAL INVER_FINAN'!F51</f>
        <v>0</v>
      </c>
      <c r="D14" s="921">
        <f>C14+'Entrada Inver_Finan'!F61</f>
        <v>0</v>
      </c>
      <c r="E14" s="921">
        <f>D14+'Entrada Inver_Finan'!G61</f>
        <v>0</v>
      </c>
      <c r="F14" s="922">
        <f>E14+'Entrada Inver_Finan'!H61</f>
        <v>0</v>
      </c>
      <c r="G14" s="2"/>
    </row>
    <row r="15" spans="1:16" s="28" customFormat="1" ht="18" x14ac:dyDescent="0.25">
      <c r="B15" s="422" t="s">
        <v>203</v>
      </c>
      <c r="C15" s="923">
        <f>C10-C11+C12-C13+C14</f>
        <v>0</v>
      </c>
      <c r="D15" s="923">
        <f>D10-D11+D12-D13+D14</f>
        <v>0</v>
      </c>
      <c r="E15" s="923">
        <f>E10-E11+E12-E13+E14</f>
        <v>0</v>
      </c>
      <c r="F15" s="924">
        <f>F10-F11+F12-F13+F14</f>
        <v>0</v>
      </c>
      <c r="G15" s="421"/>
    </row>
    <row r="16" spans="1:16" s="28" customFormat="1" ht="24.75" customHeight="1" x14ac:dyDescent="0.25">
      <c r="B16" s="420" t="s">
        <v>687</v>
      </c>
      <c r="C16" s="925"/>
      <c r="D16" s="925"/>
      <c r="E16" s="925"/>
      <c r="F16" s="926"/>
      <c r="G16" s="421"/>
    </row>
    <row r="17" spans="2:7" ht="15.75" x14ac:dyDescent="0.25">
      <c r="B17" s="423" t="s">
        <v>688</v>
      </c>
      <c r="C17" s="918">
        <f>'PRESUPUESTO INICIAL INVER_FINAN'!F81</f>
        <v>0</v>
      </c>
      <c r="D17" s="918">
        <f>C17</f>
        <v>0</v>
      </c>
      <c r="E17" s="927">
        <f>D17+D17*'Margen B'!S23</f>
        <v>0</v>
      </c>
      <c r="F17" s="928">
        <f>E17+E17*'Margen B'!V23</f>
        <v>0</v>
      </c>
      <c r="G17" s="2"/>
    </row>
    <row r="18" spans="2:7" ht="15.75" x14ac:dyDescent="0.25">
      <c r="B18" s="414" t="s">
        <v>689</v>
      </c>
      <c r="C18" s="921">
        <f>'PRESUPUESTO INICIAL INVER_FINAN'!O89</f>
        <v>0</v>
      </c>
      <c r="D18" s="921">
        <f ca="1">'Politica Cobr. Pagos'!E25</f>
        <v>0</v>
      </c>
      <c r="E18" s="929">
        <f ca="1">'Politica Cobr. Pagos'!F25</f>
        <v>0</v>
      </c>
      <c r="F18" s="930">
        <f ca="1">'Politica Cobr. Pagos'!G25</f>
        <v>0</v>
      </c>
      <c r="G18" s="2"/>
    </row>
    <row r="19" spans="2:7" ht="15.75" x14ac:dyDescent="0.25">
      <c r="B19" s="414" t="s">
        <v>690</v>
      </c>
      <c r="C19" s="921">
        <f>'PRESUPUESTO INICIAL INVER_FINAN'!F118</f>
        <v>0</v>
      </c>
      <c r="D19" s="921">
        <f ca="1">TESORERIA!N72</f>
        <v>0</v>
      </c>
      <c r="E19" s="929">
        <f ca="1">TESORERIA!E35</f>
        <v>0</v>
      </c>
      <c r="F19" s="930">
        <f ca="1">TESORERIA!F35</f>
        <v>0</v>
      </c>
      <c r="G19" s="2"/>
    </row>
    <row r="20" spans="2:7" ht="18" x14ac:dyDescent="0.25">
      <c r="B20" s="422" t="s">
        <v>691</v>
      </c>
      <c r="C20" s="923">
        <f>C17+C18+C19</f>
        <v>0</v>
      </c>
      <c r="D20" s="923">
        <f ca="1">D17+D18+D19</f>
        <v>0</v>
      </c>
      <c r="E20" s="923">
        <f ca="1">E17+E18+E19</f>
        <v>0</v>
      </c>
      <c r="F20" s="924">
        <f ca="1">F17+F18+F19</f>
        <v>0</v>
      </c>
      <c r="G20" s="2"/>
    </row>
    <row r="21" spans="2:7" ht="10.5" customHeight="1" thickBot="1" x14ac:dyDescent="0.3">
      <c r="B21" s="499"/>
      <c r="C21" s="931"/>
      <c r="D21" s="931"/>
      <c r="E21" s="931"/>
      <c r="F21" s="932"/>
      <c r="G21" s="2"/>
    </row>
    <row r="22" spans="2:7" s="28" customFormat="1" ht="27" customHeight="1" thickBot="1" x14ac:dyDescent="0.3">
      <c r="B22" s="424" t="s">
        <v>221</v>
      </c>
      <c r="C22" s="933">
        <f>C15+C20</f>
        <v>0</v>
      </c>
      <c r="D22" s="933">
        <f ca="1">D15+D20</f>
        <v>0</v>
      </c>
      <c r="E22" s="933">
        <f ca="1">E15+E20</f>
        <v>0</v>
      </c>
      <c r="F22" s="934">
        <f ca="1">F15+F20</f>
        <v>0</v>
      </c>
      <c r="G22" s="421"/>
    </row>
    <row r="23" spans="2:7" ht="16.5" thickTop="1" x14ac:dyDescent="0.25">
      <c r="B23" s="2"/>
      <c r="C23" s="2"/>
      <c r="D23" s="59"/>
      <c r="E23" s="80"/>
      <c r="F23" s="81"/>
      <c r="G23" s="2"/>
    </row>
    <row r="24" spans="2:7" ht="15.75" x14ac:dyDescent="0.25">
      <c r="B24" s="2"/>
      <c r="C24" s="2"/>
      <c r="D24" s="59"/>
      <c r="E24" s="80"/>
      <c r="F24" s="81"/>
      <c r="G24" s="2"/>
    </row>
  </sheetData>
  <sheetProtection password="CC4B" sheet="1" objects="1" scenarios="1"/>
  <mergeCells count="1">
    <mergeCell ref="B3:G3"/>
  </mergeCells>
  <phoneticPr fontId="0" type="noConversion"/>
  <printOptions horizontalCentered="1" verticalCentered="1"/>
  <pageMargins left="0.78740157480314965" right="0.78740157480314965" top="0.98425196850393704" bottom="0.98425196850393704" header="0" footer="0"/>
  <pageSetup paperSize="9" scale="76"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8">
    <tabColor theme="6" tint="0.39997558519241921"/>
    <pageSetUpPr fitToPage="1"/>
  </sheetPr>
  <dimension ref="A1:U113"/>
  <sheetViews>
    <sheetView showGridLines="0" zoomScale="85" workbookViewId="0">
      <selection activeCell="K27" sqref="K27"/>
    </sheetView>
  </sheetViews>
  <sheetFormatPr baseColWidth="10" defaultColWidth="9.140625" defaultRowHeight="19.5" customHeight="1" x14ac:dyDescent="0.2"/>
  <cols>
    <col min="1" max="1" width="11.42578125" customWidth="1"/>
    <col min="2" max="2" width="27.140625" customWidth="1"/>
    <col min="3" max="17" width="13.7109375" customWidth="1"/>
    <col min="18" max="18" width="7.7109375" customWidth="1"/>
    <col min="19" max="256" width="11.42578125" customWidth="1"/>
  </cols>
  <sheetData>
    <row r="1" spans="1:21" s="546" customFormat="1" ht="12.75" customHeight="1" thickBot="1" x14ac:dyDescent="0.25"/>
    <row r="2" spans="1:21" ht="11.25" customHeight="1" x14ac:dyDescent="0.2"/>
    <row r="4" spans="1:21" ht="19.5" customHeight="1" x14ac:dyDescent="0.3">
      <c r="B4" s="1360" t="str">
        <f>'Datos generales'!C6</f>
        <v>Nombre de la empresa</v>
      </c>
      <c r="C4" s="1360"/>
      <c r="D4" s="1360"/>
      <c r="E4" s="1360"/>
      <c r="F4" s="1360"/>
      <c r="G4" s="1360"/>
    </row>
    <row r="5" spans="1:21" ht="19.5" customHeight="1" x14ac:dyDescent="0.2">
      <c r="F5" s="58"/>
    </row>
    <row r="6" spans="1:21" ht="19.5" customHeight="1" x14ac:dyDescent="0.25">
      <c r="B6" s="244" t="s">
        <v>692</v>
      </c>
      <c r="E6" s="138"/>
      <c r="F6" s="9"/>
    </row>
    <row r="7" spans="1:21" ht="19.5" customHeight="1" x14ac:dyDescent="0.25">
      <c r="B7" s="244"/>
      <c r="E7" s="138"/>
      <c r="F7" s="9"/>
    </row>
    <row r="8" spans="1:21" ht="19.5" customHeight="1" x14ac:dyDescent="0.25">
      <c r="B8" s="138" t="s">
        <v>693</v>
      </c>
      <c r="E8" s="8"/>
      <c r="F8" s="9"/>
    </row>
    <row r="9" spans="1:21" ht="9" customHeight="1" x14ac:dyDescent="0.25">
      <c r="B9" s="138"/>
      <c r="E9" s="8"/>
      <c r="F9" s="9"/>
    </row>
    <row r="10" spans="1:21" ht="19.5" customHeight="1" thickBot="1" x14ac:dyDescent="0.3">
      <c r="A10" s="7"/>
      <c r="B10" s="7"/>
      <c r="C10" s="1457" t="s">
        <v>694</v>
      </c>
      <c r="D10" s="1457"/>
      <c r="E10" s="1457" t="s">
        <v>374</v>
      </c>
      <c r="F10" s="1457"/>
      <c r="G10" s="1457" t="s">
        <v>695</v>
      </c>
      <c r="H10" s="1457"/>
      <c r="J10" s="82"/>
      <c r="K10" s="82"/>
      <c r="N10" s="7"/>
      <c r="O10" s="7"/>
      <c r="P10" s="7"/>
      <c r="Q10" s="7"/>
      <c r="R10" s="8"/>
      <c r="S10" s="7"/>
      <c r="T10" s="8"/>
    </row>
    <row r="11" spans="1:21" ht="27.75" customHeight="1" thickTop="1" thickBot="1" x14ac:dyDescent="0.3">
      <c r="A11" s="7"/>
      <c r="B11" s="264" t="s">
        <v>696</v>
      </c>
      <c r="C11" s="1455" t="s">
        <v>697</v>
      </c>
      <c r="D11" s="1456"/>
      <c r="E11" s="1453" t="s">
        <v>697</v>
      </c>
      <c r="F11" s="1456"/>
      <c r="G11" s="1453" t="s">
        <v>697</v>
      </c>
      <c r="H11" s="1454"/>
      <c r="P11" s="140"/>
      <c r="S11" s="153"/>
      <c r="T11" s="8"/>
      <c r="U11" s="153"/>
    </row>
    <row r="12" spans="1:21" ht="19.5" customHeight="1" thickTop="1" x14ac:dyDescent="0.2">
      <c r="A12" s="7"/>
      <c r="B12" s="966" t="str">
        <f>'Previsión de negocio'!B30</f>
        <v>Producto o servicio 1</v>
      </c>
      <c r="C12" s="967" t="s">
        <v>149</v>
      </c>
      <c r="D12" s="968">
        <f>P39</f>
        <v>0</v>
      </c>
      <c r="E12" s="967" t="s">
        <v>149</v>
      </c>
      <c r="F12" s="968">
        <f>P65</f>
        <v>0</v>
      </c>
      <c r="G12" s="967" t="s">
        <v>149</v>
      </c>
      <c r="H12" s="969">
        <f>P91</f>
        <v>0</v>
      </c>
    </row>
    <row r="13" spans="1:21" ht="19.5" customHeight="1" thickBot="1" x14ac:dyDescent="0.25">
      <c r="A13" s="7"/>
      <c r="B13" s="265"/>
      <c r="C13" s="267" t="s">
        <v>544</v>
      </c>
      <c r="D13" s="268">
        <f>P40</f>
        <v>0</v>
      </c>
      <c r="E13" s="267" t="s">
        <v>544</v>
      </c>
      <c r="F13" s="268">
        <f>P66</f>
        <v>0</v>
      </c>
      <c r="G13" s="267" t="s">
        <v>544</v>
      </c>
      <c r="H13" s="949">
        <f>P92</f>
        <v>0</v>
      </c>
    </row>
    <row r="14" spans="1:21" ht="19.5" customHeight="1" x14ac:dyDescent="0.2">
      <c r="A14" s="7"/>
      <c r="B14" s="952" t="str">
        <f>'Previsión de negocio'!B36</f>
        <v>Producto o servicio 2</v>
      </c>
      <c r="C14" s="193" t="s">
        <v>149</v>
      </c>
      <c r="D14" s="266">
        <f t="shared" ref="D14:D31" si="0">P41</f>
        <v>0</v>
      </c>
      <c r="E14" s="193" t="s">
        <v>149</v>
      </c>
      <c r="F14" s="266">
        <f t="shared" ref="F14:F31" si="1">P67</f>
        <v>0</v>
      </c>
      <c r="G14" s="193" t="s">
        <v>149</v>
      </c>
      <c r="H14" s="948">
        <f t="shared" ref="H14:H31" si="2">P93</f>
        <v>0</v>
      </c>
    </row>
    <row r="15" spans="1:21" ht="19.5" customHeight="1" thickBot="1" x14ac:dyDescent="0.25">
      <c r="A15" s="7"/>
      <c r="B15" s="265"/>
      <c r="C15" s="267" t="s">
        <v>544</v>
      </c>
      <c r="D15" s="268">
        <f t="shared" si="0"/>
        <v>0</v>
      </c>
      <c r="E15" s="267" t="s">
        <v>544</v>
      </c>
      <c r="F15" s="268">
        <f t="shared" si="1"/>
        <v>0</v>
      </c>
      <c r="G15" s="267" t="s">
        <v>544</v>
      </c>
      <c r="H15" s="949">
        <f t="shared" si="2"/>
        <v>0</v>
      </c>
    </row>
    <row r="16" spans="1:21" ht="19.5" customHeight="1" x14ac:dyDescent="0.2">
      <c r="A16" s="7"/>
      <c r="B16" s="952" t="str">
        <f>'Previsión de negocio'!B42</f>
        <v>Producto o servicio 3</v>
      </c>
      <c r="C16" s="193" t="s">
        <v>149</v>
      </c>
      <c r="D16" s="266">
        <f t="shared" si="0"/>
        <v>0</v>
      </c>
      <c r="E16" s="193" t="s">
        <v>149</v>
      </c>
      <c r="F16" s="266">
        <f t="shared" si="1"/>
        <v>0</v>
      </c>
      <c r="G16" s="193" t="s">
        <v>149</v>
      </c>
      <c r="H16" s="948">
        <f t="shared" si="2"/>
        <v>0</v>
      </c>
    </row>
    <row r="17" spans="1:8" ht="19.5" customHeight="1" thickBot="1" x14ac:dyDescent="0.25">
      <c r="A17" s="7"/>
      <c r="B17" s="265"/>
      <c r="C17" s="267" t="s">
        <v>544</v>
      </c>
      <c r="D17" s="268">
        <f t="shared" si="0"/>
        <v>0</v>
      </c>
      <c r="E17" s="267" t="s">
        <v>544</v>
      </c>
      <c r="F17" s="268">
        <f t="shared" si="1"/>
        <v>0</v>
      </c>
      <c r="G17" s="267" t="s">
        <v>544</v>
      </c>
      <c r="H17" s="949">
        <f t="shared" si="2"/>
        <v>0</v>
      </c>
    </row>
    <row r="18" spans="1:8" ht="19.5" customHeight="1" x14ac:dyDescent="0.2">
      <c r="A18" s="7"/>
      <c r="B18" s="952">
        <f>'Previsión de negocio'!B48</f>
        <v>0</v>
      </c>
      <c r="C18" s="193" t="s">
        <v>149</v>
      </c>
      <c r="D18" s="266">
        <f t="shared" si="0"/>
        <v>0</v>
      </c>
      <c r="E18" s="193" t="s">
        <v>149</v>
      </c>
      <c r="F18" s="266">
        <f t="shared" si="1"/>
        <v>0</v>
      </c>
      <c r="G18" s="193" t="s">
        <v>149</v>
      </c>
      <c r="H18" s="948">
        <f t="shared" si="2"/>
        <v>0</v>
      </c>
    </row>
    <row r="19" spans="1:8" ht="19.5" customHeight="1" thickBot="1" x14ac:dyDescent="0.25">
      <c r="A19" s="7"/>
      <c r="B19" s="265"/>
      <c r="C19" s="267" t="s">
        <v>544</v>
      </c>
      <c r="D19" s="268">
        <f t="shared" si="0"/>
        <v>0</v>
      </c>
      <c r="E19" s="267" t="s">
        <v>544</v>
      </c>
      <c r="F19" s="268">
        <f t="shared" si="1"/>
        <v>0</v>
      </c>
      <c r="G19" s="267" t="s">
        <v>544</v>
      </c>
      <c r="H19" s="949">
        <f t="shared" si="2"/>
        <v>0</v>
      </c>
    </row>
    <row r="20" spans="1:8" ht="19.5" customHeight="1" x14ac:dyDescent="0.2">
      <c r="A20" s="7"/>
      <c r="B20" s="952">
        <f>'Previsión de negocio'!B54</f>
        <v>0</v>
      </c>
      <c r="C20" s="193" t="s">
        <v>149</v>
      </c>
      <c r="D20" s="266">
        <f t="shared" si="0"/>
        <v>0</v>
      </c>
      <c r="E20" s="193" t="s">
        <v>149</v>
      </c>
      <c r="F20" s="266">
        <f t="shared" si="1"/>
        <v>0</v>
      </c>
      <c r="G20" s="193" t="s">
        <v>149</v>
      </c>
      <c r="H20" s="948">
        <f t="shared" si="2"/>
        <v>0</v>
      </c>
    </row>
    <row r="21" spans="1:8" ht="19.5" customHeight="1" thickBot="1" x14ac:dyDescent="0.25">
      <c r="A21" s="7"/>
      <c r="B21" s="265"/>
      <c r="C21" s="267" t="s">
        <v>544</v>
      </c>
      <c r="D21" s="268">
        <f t="shared" si="0"/>
        <v>0</v>
      </c>
      <c r="E21" s="267" t="s">
        <v>544</v>
      </c>
      <c r="F21" s="268">
        <f t="shared" si="1"/>
        <v>0</v>
      </c>
      <c r="G21" s="267" t="s">
        <v>544</v>
      </c>
      <c r="H21" s="949">
        <f t="shared" si="2"/>
        <v>0</v>
      </c>
    </row>
    <row r="22" spans="1:8" ht="19.5" customHeight="1" x14ac:dyDescent="0.2">
      <c r="A22" s="7"/>
      <c r="B22" s="952">
        <f>'Previsión de negocio'!B60</f>
        <v>0</v>
      </c>
      <c r="C22" s="193" t="s">
        <v>149</v>
      </c>
      <c r="D22" s="266">
        <f t="shared" si="0"/>
        <v>0</v>
      </c>
      <c r="E22" s="193" t="s">
        <v>149</v>
      </c>
      <c r="F22" s="266">
        <f t="shared" si="1"/>
        <v>0</v>
      </c>
      <c r="G22" s="193" t="s">
        <v>149</v>
      </c>
      <c r="H22" s="948">
        <f t="shared" si="2"/>
        <v>0</v>
      </c>
    </row>
    <row r="23" spans="1:8" ht="19.5" customHeight="1" thickBot="1" x14ac:dyDescent="0.25">
      <c r="A23" s="7"/>
      <c r="B23" s="265"/>
      <c r="C23" s="267" t="s">
        <v>544</v>
      </c>
      <c r="D23" s="268">
        <f t="shared" si="0"/>
        <v>0</v>
      </c>
      <c r="E23" s="267" t="s">
        <v>544</v>
      </c>
      <c r="F23" s="268">
        <f t="shared" si="1"/>
        <v>0</v>
      </c>
      <c r="G23" s="267" t="s">
        <v>544</v>
      </c>
      <c r="H23" s="949">
        <f t="shared" si="2"/>
        <v>0</v>
      </c>
    </row>
    <row r="24" spans="1:8" ht="19.5" customHeight="1" x14ac:dyDescent="0.2">
      <c r="A24" s="7"/>
      <c r="B24" s="952">
        <f>'Previsión de negocio'!B66</f>
        <v>0</v>
      </c>
      <c r="C24" s="193" t="s">
        <v>149</v>
      </c>
      <c r="D24" s="266">
        <f t="shared" si="0"/>
        <v>0</v>
      </c>
      <c r="E24" s="193" t="s">
        <v>149</v>
      </c>
      <c r="F24" s="266">
        <f t="shared" si="1"/>
        <v>0</v>
      </c>
      <c r="G24" s="193" t="s">
        <v>149</v>
      </c>
      <c r="H24" s="948">
        <f t="shared" si="2"/>
        <v>0</v>
      </c>
    </row>
    <row r="25" spans="1:8" ht="19.5" customHeight="1" thickBot="1" x14ac:dyDescent="0.25">
      <c r="A25" s="7"/>
      <c r="B25" s="265"/>
      <c r="C25" s="267" t="s">
        <v>544</v>
      </c>
      <c r="D25" s="268">
        <f t="shared" si="0"/>
        <v>0</v>
      </c>
      <c r="E25" s="267" t="s">
        <v>544</v>
      </c>
      <c r="F25" s="268">
        <f t="shared" si="1"/>
        <v>0</v>
      </c>
      <c r="G25" s="267" t="s">
        <v>544</v>
      </c>
      <c r="H25" s="949">
        <f t="shared" si="2"/>
        <v>0</v>
      </c>
    </row>
    <row r="26" spans="1:8" ht="19.5" customHeight="1" x14ac:dyDescent="0.2">
      <c r="A26" s="7"/>
      <c r="B26" s="952">
        <f>'Previsión de negocio'!B72</f>
        <v>0</v>
      </c>
      <c r="C26" s="193" t="s">
        <v>149</v>
      </c>
      <c r="D26" s="266">
        <f t="shared" si="0"/>
        <v>0</v>
      </c>
      <c r="E26" s="193" t="s">
        <v>149</v>
      </c>
      <c r="F26" s="266">
        <f t="shared" si="1"/>
        <v>0</v>
      </c>
      <c r="G26" s="193" t="s">
        <v>149</v>
      </c>
      <c r="H26" s="948">
        <f t="shared" si="2"/>
        <v>0</v>
      </c>
    </row>
    <row r="27" spans="1:8" ht="19.5" customHeight="1" thickBot="1" x14ac:dyDescent="0.25">
      <c r="A27" s="7"/>
      <c r="B27" s="265"/>
      <c r="C27" s="267" t="s">
        <v>544</v>
      </c>
      <c r="D27" s="268">
        <f t="shared" si="0"/>
        <v>0</v>
      </c>
      <c r="E27" s="267" t="s">
        <v>544</v>
      </c>
      <c r="F27" s="268">
        <f t="shared" si="1"/>
        <v>0</v>
      </c>
      <c r="G27" s="267" t="s">
        <v>544</v>
      </c>
      <c r="H27" s="949">
        <f t="shared" si="2"/>
        <v>0</v>
      </c>
    </row>
    <row r="28" spans="1:8" ht="19.5" customHeight="1" x14ac:dyDescent="0.2">
      <c r="A28" s="7"/>
      <c r="B28" s="952">
        <f>'Previsión de negocio'!B78</f>
        <v>0</v>
      </c>
      <c r="C28" s="193" t="s">
        <v>149</v>
      </c>
      <c r="D28" s="266">
        <f t="shared" si="0"/>
        <v>0</v>
      </c>
      <c r="E28" s="193" t="s">
        <v>149</v>
      </c>
      <c r="F28" s="266">
        <f t="shared" si="1"/>
        <v>0</v>
      </c>
      <c r="G28" s="193" t="s">
        <v>149</v>
      </c>
      <c r="H28" s="948">
        <f t="shared" si="2"/>
        <v>0</v>
      </c>
    </row>
    <row r="29" spans="1:8" ht="19.5" customHeight="1" thickBot="1" x14ac:dyDescent="0.25">
      <c r="A29" s="7"/>
      <c r="B29" s="265"/>
      <c r="C29" s="267" t="s">
        <v>544</v>
      </c>
      <c r="D29" s="268">
        <f t="shared" si="0"/>
        <v>0</v>
      </c>
      <c r="E29" s="267" t="s">
        <v>544</v>
      </c>
      <c r="F29" s="268">
        <f t="shared" si="1"/>
        <v>0</v>
      </c>
      <c r="G29" s="267" t="s">
        <v>544</v>
      </c>
      <c r="H29" s="949">
        <f t="shared" si="2"/>
        <v>0</v>
      </c>
    </row>
    <row r="30" spans="1:8" ht="19.5" customHeight="1" x14ac:dyDescent="0.2">
      <c r="A30" s="7"/>
      <c r="B30" s="952">
        <f>'Previsión de negocio'!B84</f>
        <v>0</v>
      </c>
      <c r="C30" s="193" t="s">
        <v>149</v>
      </c>
      <c r="D30" s="266">
        <f t="shared" si="0"/>
        <v>0</v>
      </c>
      <c r="E30" s="193" t="s">
        <v>149</v>
      </c>
      <c r="F30" s="266">
        <f t="shared" si="1"/>
        <v>0</v>
      </c>
      <c r="G30" s="193" t="s">
        <v>149</v>
      </c>
      <c r="H30" s="948">
        <f t="shared" si="2"/>
        <v>0</v>
      </c>
    </row>
    <row r="31" spans="1:8" ht="19.5" customHeight="1" thickBot="1" x14ac:dyDescent="0.25">
      <c r="A31" s="7"/>
      <c r="B31" s="265"/>
      <c r="C31" s="267" t="s">
        <v>544</v>
      </c>
      <c r="D31" s="268">
        <f t="shared" si="0"/>
        <v>0</v>
      </c>
      <c r="E31" s="267" t="s">
        <v>544</v>
      </c>
      <c r="F31" s="268">
        <f t="shared" si="1"/>
        <v>0</v>
      </c>
      <c r="G31" s="267" t="s">
        <v>544</v>
      </c>
      <c r="H31" s="949">
        <f t="shared" si="2"/>
        <v>0</v>
      </c>
    </row>
    <row r="32" spans="1:8" ht="19.5" customHeight="1" thickBot="1" x14ac:dyDescent="0.3">
      <c r="A32" s="7"/>
      <c r="B32" s="251" t="s">
        <v>698</v>
      </c>
      <c r="C32" s="245"/>
      <c r="D32" s="269">
        <f>P59</f>
        <v>0</v>
      </c>
      <c r="E32" s="245"/>
      <c r="F32" s="269">
        <f>P85</f>
        <v>0</v>
      </c>
      <c r="G32" s="245"/>
      <c r="H32" s="950">
        <f>P111</f>
        <v>0</v>
      </c>
    </row>
    <row r="33" spans="1:18" ht="19.5" customHeight="1" thickBot="1" x14ac:dyDescent="0.3">
      <c r="A33" s="7"/>
      <c r="B33" s="253" t="s">
        <v>699</v>
      </c>
      <c r="C33" s="270"/>
      <c r="D33" s="271">
        <f>P60</f>
        <v>0</v>
      </c>
      <c r="E33" s="270"/>
      <c r="F33" s="271">
        <f>P86</f>
        <v>0</v>
      </c>
      <c r="G33" s="270"/>
      <c r="H33" s="951">
        <f>P112</f>
        <v>0</v>
      </c>
    </row>
    <row r="34" spans="1:18" ht="19.5" customHeight="1" thickTop="1" x14ac:dyDescent="0.2">
      <c r="A34" s="7"/>
      <c r="B34" s="953"/>
      <c r="C34" s="953"/>
      <c r="D34" s="953"/>
      <c r="E34" s="953"/>
      <c r="F34" s="953"/>
      <c r="G34" s="953"/>
      <c r="H34" s="953"/>
      <c r="I34" s="953"/>
      <c r="J34" s="953"/>
      <c r="K34" s="953"/>
      <c r="L34" s="7"/>
      <c r="M34" s="7"/>
      <c r="N34" s="7"/>
      <c r="O34" s="7"/>
      <c r="P34" s="7"/>
      <c r="Q34" s="7"/>
      <c r="R34" s="4"/>
    </row>
    <row r="35" spans="1:18" ht="19.5" customHeight="1" x14ac:dyDescent="0.2">
      <c r="A35" s="7"/>
      <c r="B35" s="7"/>
      <c r="C35" s="7"/>
      <c r="D35" s="7"/>
      <c r="E35" s="7"/>
      <c r="F35" s="7"/>
      <c r="G35" s="7"/>
      <c r="H35" s="7"/>
      <c r="I35" s="7"/>
      <c r="J35" s="7"/>
      <c r="K35" s="7"/>
      <c r="L35" s="7"/>
      <c r="M35" s="7"/>
      <c r="N35" s="7"/>
      <c r="O35" s="7"/>
      <c r="P35" s="7"/>
      <c r="Q35" s="7"/>
      <c r="R35" s="4"/>
    </row>
    <row r="36" spans="1:18" ht="19.5" customHeight="1" x14ac:dyDescent="0.25">
      <c r="B36" s="138" t="s">
        <v>459</v>
      </c>
    </row>
    <row r="37" spans="1:18" ht="9.75" customHeight="1" thickBot="1" x14ac:dyDescent="0.25"/>
    <row r="38" spans="1:18" ht="30" customHeight="1" thickTop="1" x14ac:dyDescent="0.25">
      <c r="B38" s="263" t="s">
        <v>700</v>
      </c>
      <c r="C38" s="55"/>
      <c r="D38" s="247" t="s">
        <v>117</v>
      </c>
      <c r="E38" s="56" t="s">
        <v>118</v>
      </c>
      <c r="F38" s="247" t="s">
        <v>119</v>
      </c>
      <c r="G38" s="247" t="s">
        <v>120</v>
      </c>
      <c r="H38" s="247" t="s">
        <v>121</v>
      </c>
      <c r="I38" s="247" t="s">
        <v>122</v>
      </c>
      <c r="J38" s="247" t="s">
        <v>123</v>
      </c>
      <c r="K38" s="247" t="s">
        <v>124</v>
      </c>
      <c r="L38" s="247" t="s">
        <v>125</v>
      </c>
      <c r="M38" s="247" t="s">
        <v>126</v>
      </c>
      <c r="N38" s="247" t="s">
        <v>127</v>
      </c>
      <c r="O38" s="248" t="s">
        <v>128</v>
      </c>
      <c r="P38" s="249" t="s">
        <v>129</v>
      </c>
    </row>
    <row r="39" spans="1:18" ht="19.5" customHeight="1" x14ac:dyDescent="0.2">
      <c r="B39" s="250" t="str">
        <f>B12</f>
        <v>Producto o servicio 1</v>
      </c>
      <c r="C39" s="83" t="str">
        <f>C12</f>
        <v>Unidades</v>
      </c>
      <c r="D39" s="259">
        <f>IF('Datos generales'!$O$10&gt;'Datos generales'!E$1,0,'Previsión de negocio'!D31)</f>
        <v>0</v>
      </c>
      <c r="E39" s="259">
        <f>IF('Datos generales'!$O$10&gt;'Datos generales'!F$1,0,'Previsión de negocio'!E31)</f>
        <v>0</v>
      </c>
      <c r="F39" s="259">
        <f>IF('Datos generales'!$O$10&gt;'Datos generales'!G$1,0,'Previsión de negocio'!F31)</f>
        <v>0</v>
      </c>
      <c r="G39" s="259">
        <f>IF('Datos generales'!$O$10&gt;'Datos generales'!H$1,0,'Previsión de negocio'!G31)</f>
        <v>0</v>
      </c>
      <c r="H39" s="259">
        <f>IF('Datos generales'!$O$10&gt;'Datos generales'!I$1,0,'Previsión de negocio'!H31)</f>
        <v>0</v>
      </c>
      <c r="I39" s="259">
        <f>IF('Datos generales'!$O$10&gt;'Datos generales'!J$1,0,'Previsión de negocio'!I31)</f>
        <v>0</v>
      </c>
      <c r="J39" s="259">
        <f>IF('Datos generales'!$O$10&gt;'Datos generales'!K$1,0,'Previsión de negocio'!J31)</f>
        <v>0</v>
      </c>
      <c r="K39" s="259">
        <f>IF('Datos generales'!$O$10&gt;'Datos generales'!L$1,0,'Previsión de negocio'!K31)</f>
        <v>0</v>
      </c>
      <c r="L39" s="259">
        <f>IF('Datos generales'!$O$10&gt;'Datos generales'!M$1,0,'Previsión de negocio'!L31)</f>
        <v>0</v>
      </c>
      <c r="M39" s="259">
        <f>IF('Datos generales'!$O$10&gt;'Datos generales'!N$1,0,'Previsión de negocio'!M31)</f>
        <v>0</v>
      </c>
      <c r="N39" s="259">
        <f>IF('Datos generales'!$O$10&gt;'Datos generales'!O$1,0,'Previsión de negocio'!N31)</f>
        <v>0</v>
      </c>
      <c r="O39" s="259">
        <f>IF('Datos generales'!$O$10&gt;'Datos generales'!P$1,0,'Previsión de negocio'!O31)</f>
        <v>0</v>
      </c>
      <c r="P39" s="260">
        <f>SUM(D39:O39)</f>
        <v>0</v>
      </c>
    </row>
    <row r="40" spans="1:18" ht="19.5" customHeight="1" thickBot="1" x14ac:dyDescent="0.25">
      <c r="B40" s="257"/>
      <c r="C40" s="261" t="str">
        <f>C13</f>
        <v>Euros</v>
      </c>
      <c r="D40" s="258">
        <f>IF('Datos generales'!$O$10&gt;'Datos generales'!E$1,0,'Previsión de negocio'!D33)</f>
        <v>0</v>
      </c>
      <c r="E40" s="258">
        <f>IF('Datos generales'!$O$10&gt;'Datos generales'!F$1,0,'Previsión de negocio'!E33)</f>
        <v>0</v>
      </c>
      <c r="F40" s="258">
        <f>IF('Datos generales'!$O$10&gt;'Datos generales'!G$1,0,'Previsión de negocio'!F33)</f>
        <v>0</v>
      </c>
      <c r="G40" s="258">
        <f>IF('Datos generales'!$O$10&gt;'Datos generales'!H$1,0,'Previsión de negocio'!G33)</f>
        <v>0</v>
      </c>
      <c r="H40" s="258">
        <f>IF('Datos generales'!$O$10&gt;'Datos generales'!I$1,0,'Previsión de negocio'!H33)</f>
        <v>0</v>
      </c>
      <c r="I40" s="258">
        <f>IF('Datos generales'!$O$10&gt;'Datos generales'!J$1,0,'Previsión de negocio'!I33)</f>
        <v>0</v>
      </c>
      <c r="J40" s="258">
        <f>IF('Datos generales'!$O$10&gt;'Datos generales'!K$1,0,'Previsión de negocio'!J33)</f>
        <v>0</v>
      </c>
      <c r="K40" s="258">
        <f>IF('Datos generales'!$O$10&gt;'Datos generales'!L$1,0,'Previsión de negocio'!K33)</f>
        <v>0</v>
      </c>
      <c r="L40" s="258">
        <f>IF('Datos generales'!$O$10&gt;'Datos generales'!M$1,0,'Previsión de negocio'!L33)</f>
        <v>0</v>
      </c>
      <c r="M40" s="258">
        <f>IF('Datos generales'!$O$10&gt;'Datos generales'!N$1,0,'Previsión de negocio'!M33)</f>
        <v>0</v>
      </c>
      <c r="N40" s="258">
        <f>IF('Datos generales'!$O$10&gt;'Datos generales'!O$1,0,'Previsión de negocio'!N33)</f>
        <v>0</v>
      </c>
      <c r="O40" s="258">
        <f>IF('Datos generales'!$O$10&gt;'Datos generales'!P$1,0,'Previsión de negocio'!O33)</f>
        <v>0</v>
      </c>
      <c r="P40" s="262">
        <f t="shared" ref="P40:P60" si="3">SUM(D40:O40)</f>
        <v>0</v>
      </c>
    </row>
    <row r="41" spans="1:18" ht="19.5" customHeight="1" x14ac:dyDescent="0.2">
      <c r="B41" s="250" t="str">
        <f>B14</f>
        <v>Producto o servicio 2</v>
      </c>
      <c r="C41" s="83" t="str">
        <f>C14</f>
        <v>Unidades</v>
      </c>
      <c r="D41" s="259">
        <f>IF('Datos generales'!$O$10&gt;'Datos generales'!E$1,0,'Previsión de negocio'!D37)</f>
        <v>0</v>
      </c>
      <c r="E41" s="259">
        <f>IF('Datos generales'!$O$10&gt;'Datos generales'!F$1,0,'Previsión de negocio'!E37)</f>
        <v>0</v>
      </c>
      <c r="F41" s="259">
        <f>IF('Datos generales'!$O$10&gt;'Datos generales'!G$1,0,'Previsión de negocio'!F37)</f>
        <v>0</v>
      </c>
      <c r="G41" s="259">
        <f>IF('Datos generales'!$O$10&gt;'Datos generales'!H$1,0,'Previsión de negocio'!G37)</f>
        <v>0</v>
      </c>
      <c r="H41" s="259">
        <f>IF('Datos generales'!$O$10&gt;'Datos generales'!I$1,0,'Previsión de negocio'!H37)</f>
        <v>0</v>
      </c>
      <c r="I41" s="259">
        <f>IF('Datos generales'!$O$10&gt;'Datos generales'!J$1,0,'Previsión de negocio'!I37)</f>
        <v>0</v>
      </c>
      <c r="J41" s="259">
        <f>IF('Datos generales'!$O$10&gt;'Datos generales'!K$1,0,'Previsión de negocio'!J37)</f>
        <v>0</v>
      </c>
      <c r="K41" s="259">
        <f>IF('Datos generales'!$O$10&gt;'Datos generales'!L$1,0,'Previsión de negocio'!K37)</f>
        <v>0</v>
      </c>
      <c r="L41" s="259">
        <f>IF('Datos generales'!$O$10&gt;'Datos generales'!M$1,0,'Previsión de negocio'!L37)</f>
        <v>0</v>
      </c>
      <c r="M41" s="259">
        <f>IF('Datos generales'!$O$10&gt;'Datos generales'!N$1,0,'Previsión de negocio'!M37)</f>
        <v>0</v>
      </c>
      <c r="N41" s="259">
        <f>IF('Datos generales'!$O$10&gt;'Datos generales'!O$1,0,'Previsión de negocio'!N37)</f>
        <v>0</v>
      </c>
      <c r="O41" s="259">
        <f>IF('Datos generales'!$O$10&gt;'Datos generales'!P$1,0,'Previsión de negocio'!O37)</f>
        <v>0</v>
      </c>
      <c r="P41" s="260">
        <f t="shared" si="3"/>
        <v>0</v>
      </c>
    </row>
    <row r="42" spans="1:18" ht="19.5" customHeight="1" thickBot="1" x14ac:dyDescent="0.25">
      <c r="B42" s="257"/>
      <c r="C42" s="261" t="str">
        <f t="shared" ref="C42:C58" si="4">C15</f>
        <v>Euros</v>
      </c>
      <c r="D42" s="258">
        <f>IF('Datos generales'!$O$10&gt;'Datos generales'!E$1,0,'Previsión de negocio'!D39)</f>
        <v>0</v>
      </c>
      <c r="E42" s="258">
        <f>IF('Datos generales'!$O$10&gt;'Datos generales'!F$1,0,'Previsión de negocio'!E39)</f>
        <v>0</v>
      </c>
      <c r="F42" s="258">
        <f>IF('Datos generales'!$O$10&gt;'Datos generales'!G$1,0,'Previsión de negocio'!F39)</f>
        <v>0</v>
      </c>
      <c r="G42" s="258">
        <f>IF('Datos generales'!$O$10&gt;'Datos generales'!H$1,0,'Previsión de negocio'!G39)</f>
        <v>0</v>
      </c>
      <c r="H42" s="258">
        <f>IF('Datos generales'!$O$10&gt;'Datos generales'!I$1,0,'Previsión de negocio'!H39)</f>
        <v>0</v>
      </c>
      <c r="I42" s="258">
        <f>IF('Datos generales'!$O$10&gt;'Datos generales'!J$1,0,'Previsión de negocio'!I39)</f>
        <v>0</v>
      </c>
      <c r="J42" s="258">
        <f>IF('Datos generales'!$O$10&gt;'Datos generales'!K$1,0,'Previsión de negocio'!J39)</f>
        <v>0</v>
      </c>
      <c r="K42" s="258">
        <f>IF('Datos generales'!$O$10&gt;'Datos generales'!L$1,0,'Previsión de negocio'!K39)</f>
        <v>0</v>
      </c>
      <c r="L42" s="258">
        <f>IF('Datos generales'!$O$10&gt;'Datos generales'!M$1,0,'Previsión de negocio'!L39)</f>
        <v>0</v>
      </c>
      <c r="M42" s="258">
        <f>IF('Datos generales'!$O$10&gt;'Datos generales'!N$1,0,'Previsión de negocio'!M39)</f>
        <v>0</v>
      </c>
      <c r="N42" s="258">
        <f>IF('Datos generales'!$O$10&gt;'Datos generales'!O$1,0,'Previsión de negocio'!N39)</f>
        <v>0</v>
      </c>
      <c r="O42" s="258">
        <f>IF('Datos generales'!$O$10&gt;'Datos generales'!P$1,0,'Previsión de negocio'!O39)</f>
        <v>0</v>
      </c>
      <c r="P42" s="262">
        <f t="shared" si="3"/>
        <v>0</v>
      </c>
    </row>
    <row r="43" spans="1:18" ht="19.5" customHeight="1" x14ac:dyDescent="0.2">
      <c r="B43" s="250" t="str">
        <f>B16</f>
        <v>Producto o servicio 3</v>
      </c>
      <c r="C43" s="83" t="str">
        <f t="shared" si="4"/>
        <v>Unidades</v>
      </c>
      <c r="D43" s="259">
        <f>IF('Datos generales'!$O$10&gt;'Datos generales'!E$1,0,'Previsión de negocio'!D43)</f>
        <v>0</v>
      </c>
      <c r="E43" s="259">
        <f>IF('Datos generales'!$O$10&gt;'Datos generales'!F$1,0,'Previsión de negocio'!E43)</f>
        <v>0</v>
      </c>
      <c r="F43" s="259">
        <f>IF('Datos generales'!$O$10&gt;'Datos generales'!G$1,0,'Previsión de negocio'!F43)</f>
        <v>0</v>
      </c>
      <c r="G43" s="259">
        <f>IF('Datos generales'!$O$10&gt;'Datos generales'!H$1,0,'Previsión de negocio'!G43)</f>
        <v>0</v>
      </c>
      <c r="H43" s="259">
        <f>IF('Datos generales'!$O$10&gt;'Datos generales'!I$1,0,'Previsión de negocio'!H43)</f>
        <v>0</v>
      </c>
      <c r="I43" s="259">
        <f>IF('Datos generales'!$O$10&gt;'Datos generales'!J$1,0,'Previsión de negocio'!I43)</f>
        <v>0</v>
      </c>
      <c r="J43" s="259">
        <f>IF('Datos generales'!$O$10&gt;'Datos generales'!K$1,0,'Previsión de negocio'!J43)</f>
        <v>0</v>
      </c>
      <c r="K43" s="259">
        <f>IF('Datos generales'!$O$10&gt;'Datos generales'!L$1,0,'Previsión de negocio'!K43)</f>
        <v>0</v>
      </c>
      <c r="L43" s="259">
        <f>IF('Datos generales'!$O$10&gt;'Datos generales'!M$1,0,'Previsión de negocio'!L43)</f>
        <v>0</v>
      </c>
      <c r="M43" s="259">
        <f>IF('Datos generales'!$O$10&gt;'Datos generales'!N$1,0,'Previsión de negocio'!M43)</f>
        <v>0</v>
      </c>
      <c r="N43" s="259">
        <f>IF('Datos generales'!$O$10&gt;'Datos generales'!O$1,0,'Previsión de negocio'!N43)</f>
        <v>0</v>
      </c>
      <c r="O43" s="259">
        <f>IF('Datos generales'!$O$10&gt;'Datos generales'!P$1,0,'Previsión de negocio'!O43)</f>
        <v>0</v>
      </c>
      <c r="P43" s="260">
        <f t="shared" si="3"/>
        <v>0</v>
      </c>
    </row>
    <row r="44" spans="1:18" ht="19.5" customHeight="1" thickBot="1" x14ac:dyDescent="0.25">
      <c r="B44" s="257"/>
      <c r="C44" s="261" t="str">
        <f t="shared" si="4"/>
        <v>Euros</v>
      </c>
      <c r="D44" s="258">
        <f>IF('Datos generales'!$O$10&gt;'Datos generales'!E$1,0,'Previsión de negocio'!D45)</f>
        <v>0</v>
      </c>
      <c r="E44" s="258">
        <f>IF('Datos generales'!$O$10&gt;'Datos generales'!F$1,0,'Previsión de negocio'!E45)</f>
        <v>0</v>
      </c>
      <c r="F44" s="258">
        <f>IF('Datos generales'!$O$10&gt;'Datos generales'!G$1,0,'Previsión de negocio'!F45)</f>
        <v>0</v>
      </c>
      <c r="G44" s="258">
        <f>IF('Datos generales'!$O$10&gt;'Datos generales'!H$1,0,'Previsión de negocio'!G45)</f>
        <v>0</v>
      </c>
      <c r="H44" s="258">
        <f>IF('Datos generales'!$O$10&gt;'Datos generales'!I$1,0,'Previsión de negocio'!H45)</f>
        <v>0</v>
      </c>
      <c r="I44" s="258">
        <f>IF('Datos generales'!$O$10&gt;'Datos generales'!J$1,0,'Previsión de negocio'!I45)</f>
        <v>0</v>
      </c>
      <c r="J44" s="258">
        <f>IF('Datos generales'!$O$10&gt;'Datos generales'!K$1,0,'Previsión de negocio'!J45)</f>
        <v>0</v>
      </c>
      <c r="K44" s="258">
        <f>IF('Datos generales'!$O$10&gt;'Datos generales'!L$1,0,'Previsión de negocio'!K45)</f>
        <v>0</v>
      </c>
      <c r="L44" s="258">
        <f>IF('Datos generales'!$O$10&gt;'Datos generales'!M$1,0,'Previsión de negocio'!L45)</f>
        <v>0</v>
      </c>
      <c r="M44" s="258">
        <f>IF('Datos generales'!$O$10&gt;'Datos generales'!N$1,0,'Previsión de negocio'!M45)</f>
        <v>0</v>
      </c>
      <c r="N44" s="258">
        <f>IF('Datos generales'!$O$10&gt;'Datos generales'!O$1,0,'Previsión de negocio'!N45)</f>
        <v>0</v>
      </c>
      <c r="O44" s="258">
        <f>IF('Datos generales'!$O$10&gt;'Datos generales'!P$1,0,'Previsión de negocio'!O45)</f>
        <v>0</v>
      </c>
      <c r="P44" s="262">
        <f t="shared" si="3"/>
        <v>0</v>
      </c>
    </row>
    <row r="45" spans="1:18" ht="19.5" customHeight="1" x14ac:dyDescent="0.2">
      <c r="B45" s="250">
        <f>B18</f>
        <v>0</v>
      </c>
      <c r="C45" s="83" t="str">
        <f t="shared" si="4"/>
        <v>Unidades</v>
      </c>
      <c r="D45" s="259">
        <f>IF('Datos generales'!$O$10&gt;'Datos generales'!E$1,0,'Previsión de negocio'!D49)</f>
        <v>0</v>
      </c>
      <c r="E45" s="259">
        <f>IF('Datos generales'!$O$10&gt;'Datos generales'!F$1,0,'Previsión de negocio'!E49)</f>
        <v>0</v>
      </c>
      <c r="F45" s="259">
        <f>IF('Datos generales'!$O$10&gt;'Datos generales'!G$1,0,'Previsión de negocio'!F49)</f>
        <v>0</v>
      </c>
      <c r="G45" s="259">
        <f>IF('Datos generales'!$O$10&gt;'Datos generales'!H$1,0,'Previsión de negocio'!G49)</f>
        <v>0</v>
      </c>
      <c r="H45" s="259">
        <f>IF('Datos generales'!$O$10&gt;'Datos generales'!I$1,0,'Previsión de negocio'!H49)</f>
        <v>0</v>
      </c>
      <c r="I45" s="259">
        <f>IF('Datos generales'!$O$10&gt;'Datos generales'!J$1,0,'Previsión de negocio'!I49)</f>
        <v>0</v>
      </c>
      <c r="J45" s="259">
        <f>IF('Datos generales'!$O$10&gt;'Datos generales'!K$1,0,'Previsión de negocio'!J49)</f>
        <v>0</v>
      </c>
      <c r="K45" s="259">
        <f>IF('Datos generales'!$O$10&gt;'Datos generales'!L$1,0,'Previsión de negocio'!K49)</f>
        <v>0</v>
      </c>
      <c r="L45" s="259">
        <f>IF('Datos generales'!$O$10&gt;'Datos generales'!M$1,0,'Previsión de negocio'!L49)</f>
        <v>0</v>
      </c>
      <c r="M45" s="259">
        <f>IF('Datos generales'!$O$10&gt;'Datos generales'!N$1,0,'Previsión de negocio'!M49)</f>
        <v>0</v>
      </c>
      <c r="N45" s="259">
        <f>IF('Datos generales'!$O$10&gt;'Datos generales'!O$1,0,'Previsión de negocio'!N49)</f>
        <v>0</v>
      </c>
      <c r="O45" s="259">
        <f>IF('Datos generales'!$O$10&gt;'Datos generales'!P$1,0,'Previsión de negocio'!O49)</f>
        <v>0</v>
      </c>
      <c r="P45" s="260">
        <f t="shared" si="3"/>
        <v>0</v>
      </c>
    </row>
    <row r="46" spans="1:18" ht="19.5" customHeight="1" thickBot="1" x14ac:dyDescent="0.25">
      <c r="B46" s="257"/>
      <c r="C46" s="261" t="str">
        <f t="shared" si="4"/>
        <v>Euros</v>
      </c>
      <c r="D46" s="258">
        <f>IF('Datos generales'!$O$10&gt;'Datos generales'!E$1,0,'Previsión de negocio'!D51)</f>
        <v>0</v>
      </c>
      <c r="E46" s="258">
        <f>IF('Datos generales'!$O$10&gt;'Datos generales'!F$1,0,'Previsión de negocio'!E51)</f>
        <v>0</v>
      </c>
      <c r="F46" s="258">
        <f>IF('Datos generales'!$O$10&gt;'Datos generales'!G$1,0,'Previsión de negocio'!F51)</f>
        <v>0</v>
      </c>
      <c r="G46" s="258">
        <f>IF('Datos generales'!$O$10&gt;'Datos generales'!H$1,0,'Previsión de negocio'!G51)</f>
        <v>0</v>
      </c>
      <c r="H46" s="258">
        <f>IF('Datos generales'!$O$10&gt;'Datos generales'!I$1,0,'Previsión de negocio'!H51)</f>
        <v>0</v>
      </c>
      <c r="I46" s="258">
        <f>IF('Datos generales'!$O$10&gt;'Datos generales'!J$1,0,'Previsión de negocio'!I51)</f>
        <v>0</v>
      </c>
      <c r="J46" s="258">
        <f>IF('Datos generales'!$O$10&gt;'Datos generales'!K$1,0,'Previsión de negocio'!J51)</f>
        <v>0</v>
      </c>
      <c r="K46" s="258">
        <f>IF('Datos generales'!$O$10&gt;'Datos generales'!L$1,0,'Previsión de negocio'!K51)</f>
        <v>0</v>
      </c>
      <c r="L46" s="258">
        <f>IF('Datos generales'!$O$10&gt;'Datos generales'!M$1,0,'Previsión de negocio'!L51)</f>
        <v>0</v>
      </c>
      <c r="M46" s="258">
        <f>IF('Datos generales'!$O$10&gt;'Datos generales'!N$1,0,'Previsión de negocio'!M51)</f>
        <v>0</v>
      </c>
      <c r="N46" s="258">
        <f>IF('Datos generales'!$O$10&gt;'Datos generales'!O$1,0,'Previsión de negocio'!N51)</f>
        <v>0</v>
      </c>
      <c r="O46" s="258">
        <f>IF('Datos generales'!$O$10&gt;'Datos generales'!P$1,0,'Previsión de negocio'!O51)</f>
        <v>0</v>
      </c>
      <c r="P46" s="262">
        <f t="shared" si="3"/>
        <v>0</v>
      </c>
    </row>
    <row r="47" spans="1:18" ht="19.5" customHeight="1" x14ac:dyDescent="0.2">
      <c r="B47" s="250">
        <f>B20</f>
        <v>0</v>
      </c>
      <c r="C47" s="83" t="str">
        <f t="shared" si="4"/>
        <v>Unidades</v>
      </c>
      <c r="D47" s="259">
        <f>IF('Datos generales'!$O$10&gt;'Datos generales'!E$1,0,'Previsión de negocio'!D55)</f>
        <v>0</v>
      </c>
      <c r="E47" s="259">
        <f>IF('Datos generales'!$O$10&gt;'Datos generales'!F$1,0,'Previsión de negocio'!E55)</f>
        <v>0</v>
      </c>
      <c r="F47" s="259">
        <f>IF('Datos generales'!$O$10&gt;'Datos generales'!G$1,0,'Previsión de negocio'!F55)</f>
        <v>0</v>
      </c>
      <c r="G47" s="259">
        <f>IF('Datos generales'!$O$10&gt;'Datos generales'!H$1,0,'Previsión de negocio'!G55)</f>
        <v>0</v>
      </c>
      <c r="H47" s="259">
        <f>IF('Datos generales'!$O$10&gt;'Datos generales'!I$1,0,'Previsión de negocio'!H55)</f>
        <v>0</v>
      </c>
      <c r="I47" s="259">
        <f>IF('Datos generales'!$O$10&gt;'Datos generales'!J$1,0,'Previsión de negocio'!I55)</f>
        <v>0</v>
      </c>
      <c r="J47" s="259">
        <f>IF('Datos generales'!$O$10&gt;'Datos generales'!K$1,0,'Previsión de negocio'!J55)</f>
        <v>0</v>
      </c>
      <c r="K47" s="259">
        <f>IF('Datos generales'!$O$10&gt;'Datos generales'!L$1,0,'Previsión de negocio'!K55)</f>
        <v>0</v>
      </c>
      <c r="L47" s="259">
        <f>IF('Datos generales'!$O$10&gt;'Datos generales'!M$1,0,'Previsión de negocio'!L55)</f>
        <v>0</v>
      </c>
      <c r="M47" s="259">
        <f>IF('Datos generales'!$O$10&gt;'Datos generales'!N$1,0,'Previsión de negocio'!M55)</f>
        <v>0</v>
      </c>
      <c r="N47" s="259">
        <f>IF('Datos generales'!$O$10&gt;'Datos generales'!O$1,0,'Previsión de negocio'!N55)</f>
        <v>0</v>
      </c>
      <c r="O47" s="259">
        <f>IF('Datos generales'!$O$10&gt;'Datos generales'!P$1,0,'Previsión de negocio'!O55)</f>
        <v>0</v>
      </c>
      <c r="P47" s="260">
        <f t="shared" si="3"/>
        <v>0</v>
      </c>
    </row>
    <row r="48" spans="1:18" ht="19.5" customHeight="1" thickBot="1" x14ac:dyDescent="0.25">
      <c r="B48" s="257"/>
      <c r="C48" s="261" t="str">
        <f t="shared" si="4"/>
        <v>Euros</v>
      </c>
      <c r="D48" s="258">
        <f>IF('Datos generales'!$O$10&gt;'Datos generales'!E$1,0,'Previsión de negocio'!D57)</f>
        <v>0</v>
      </c>
      <c r="E48" s="258">
        <f>IF('Datos generales'!$O$10&gt;'Datos generales'!F$1,0,'Previsión de negocio'!E57)</f>
        <v>0</v>
      </c>
      <c r="F48" s="258">
        <f>IF('Datos generales'!$O$10&gt;'Datos generales'!G$1,0,'Previsión de negocio'!F57)</f>
        <v>0</v>
      </c>
      <c r="G48" s="258">
        <f>IF('Datos generales'!$O$10&gt;'Datos generales'!H$1,0,'Previsión de negocio'!G57)</f>
        <v>0</v>
      </c>
      <c r="H48" s="258">
        <f>IF('Datos generales'!$O$10&gt;'Datos generales'!I$1,0,'Previsión de negocio'!H57)</f>
        <v>0</v>
      </c>
      <c r="I48" s="258">
        <f>IF('Datos generales'!$O$10&gt;'Datos generales'!J$1,0,'Previsión de negocio'!I57)</f>
        <v>0</v>
      </c>
      <c r="J48" s="258">
        <f>IF('Datos generales'!$O$10&gt;'Datos generales'!K$1,0,'Previsión de negocio'!J57)</f>
        <v>0</v>
      </c>
      <c r="K48" s="258">
        <f>IF('Datos generales'!$O$10&gt;'Datos generales'!L$1,0,'Previsión de negocio'!K57)</f>
        <v>0</v>
      </c>
      <c r="L48" s="258">
        <f>IF('Datos generales'!$O$10&gt;'Datos generales'!M$1,0,'Previsión de negocio'!L57)</f>
        <v>0</v>
      </c>
      <c r="M48" s="258">
        <f>IF('Datos generales'!$O$10&gt;'Datos generales'!N$1,0,'Previsión de negocio'!M57)</f>
        <v>0</v>
      </c>
      <c r="N48" s="258">
        <f>IF('Datos generales'!$O$10&gt;'Datos generales'!O$1,0,'Previsión de negocio'!N57)</f>
        <v>0</v>
      </c>
      <c r="O48" s="258">
        <f>IF('Datos generales'!$O$10&gt;'Datos generales'!P$1,0,'Previsión de negocio'!O57)</f>
        <v>0</v>
      </c>
      <c r="P48" s="262">
        <f t="shared" si="3"/>
        <v>0</v>
      </c>
    </row>
    <row r="49" spans="2:18" ht="19.5" customHeight="1" x14ac:dyDescent="0.2">
      <c r="B49" s="250">
        <f>B22</f>
        <v>0</v>
      </c>
      <c r="C49" s="83" t="str">
        <f t="shared" si="4"/>
        <v>Unidades</v>
      </c>
      <c r="D49" s="259">
        <f>IF('Datos generales'!$O$10&gt;'Datos generales'!E$1,0,'Previsión de negocio'!D61)</f>
        <v>0</v>
      </c>
      <c r="E49" s="259">
        <f>IF('Datos generales'!$O$10&gt;'Datos generales'!F$1,0,'Previsión de negocio'!E61)</f>
        <v>0</v>
      </c>
      <c r="F49" s="259">
        <f>IF('Datos generales'!$O$10&gt;'Datos generales'!G$1,0,'Previsión de negocio'!F61)</f>
        <v>0</v>
      </c>
      <c r="G49" s="259">
        <f>IF('Datos generales'!$O$10&gt;'Datos generales'!H$1,0,'Previsión de negocio'!G61)</f>
        <v>0</v>
      </c>
      <c r="H49" s="259">
        <f>IF('Datos generales'!$O$10&gt;'Datos generales'!I$1,0,'Previsión de negocio'!H61)</f>
        <v>0</v>
      </c>
      <c r="I49" s="259">
        <f>IF('Datos generales'!$O$10&gt;'Datos generales'!J$1,0,'Previsión de negocio'!I61)</f>
        <v>0</v>
      </c>
      <c r="J49" s="259">
        <f>IF('Datos generales'!$O$10&gt;'Datos generales'!K$1,0,'Previsión de negocio'!J61)</f>
        <v>0</v>
      </c>
      <c r="K49" s="259">
        <f>IF('Datos generales'!$O$10&gt;'Datos generales'!L$1,0,'Previsión de negocio'!K61)</f>
        <v>0</v>
      </c>
      <c r="L49" s="259">
        <f>IF('Datos generales'!$O$10&gt;'Datos generales'!M$1,0,'Previsión de negocio'!L61)</f>
        <v>0</v>
      </c>
      <c r="M49" s="259">
        <f>IF('Datos generales'!$O$10&gt;'Datos generales'!N$1,0,'Previsión de negocio'!M61)</f>
        <v>0</v>
      </c>
      <c r="N49" s="259">
        <f>IF('Datos generales'!$O$10&gt;'Datos generales'!O$1,0,'Previsión de negocio'!N61)</f>
        <v>0</v>
      </c>
      <c r="O49" s="259">
        <f>IF('Datos generales'!$O$10&gt;'Datos generales'!P$1,0,'Previsión de negocio'!O61)</f>
        <v>0</v>
      </c>
      <c r="P49" s="260">
        <f t="shared" si="3"/>
        <v>0</v>
      </c>
    </row>
    <row r="50" spans="2:18" ht="19.5" customHeight="1" thickBot="1" x14ac:dyDescent="0.25">
      <c r="B50" s="257"/>
      <c r="C50" s="261" t="str">
        <f t="shared" si="4"/>
        <v>Euros</v>
      </c>
      <c r="D50" s="258">
        <f>IF('Datos generales'!$O$10&gt;'Datos generales'!E$1,0,'Previsión de negocio'!D63)</f>
        <v>0</v>
      </c>
      <c r="E50" s="258">
        <f>IF('Datos generales'!$O$10&gt;'Datos generales'!F$1,0,'Previsión de negocio'!E63)</f>
        <v>0</v>
      </c>
      <c r="F50" s="258">
        <f>IF('Datos generales'!$O$10&gt;'Datos generales'!G$1,0,'Previsión de negocio'!F63)</f>
        <v>0</v>
      </c>
      <c r="G50" s="258">
        <f>IF('Datos generales'!$O$10&gt;'Datos generales'!H$1,0,'Previsión de negocio'!G63)</f>
        <v>0</v>
      </c>
      <c r="H50" s="258">
        <f>IF('Datos generales'!$O$10&gt;'Datos generales'!I$1,0,'Previsión de negocio'!H63)</f>
        <v>0</v>
      </c>
      <c r="I50" s="258">
        <f>IF('Datos generales'!$O$10&gt;'Datos generales'!J$1,0,'Previsión de negocio'!I63)</f>
        <v>0</v>
      </c>
      <c r="J50" s="258">
        <f>IF('Datos generales'!$O$10&gt;'Datos generales'!K$1,0,'Previsión de negocio'!J63)</f>
        <v>0</v>
      </c>
      <c r="K50" s="258">
        <f>IF('Datos generales'!$O$10&gt;'Datos generales'!L$1,0,'Previsión de negocio'!K63)</f>
        <v>0</v>
      </c>
      <c r="L50" s="258">
        <f>IF('Datos generales'!$O$10&gt;'Datos generales'!M$1,0,'Previsión de negocio'!L63)</f>
        <v>0</v>
      </c>
      <c r="M50" s="258">
        <f>IF('Datos generales'!$O$10&gt;'Datos generales'!N$1,0,'Previsión de negocio'!M63)</f>
        <v>0</v>
      </c>
      <c r="N50" s="258">
        <f>IF('Datos generales'!$O$10&gt;'Datos generales'!O$1,0,'Previsión de negocio'!N63)</f>
        <v>0</v>
      </c>
      <c r="O50" s="258">
        <f>IF('Datos generales'!$O$10&gt;'Datos generales'!P$1,0,'Previsión de negocio'!O63)</f>
        <v>0</v>
      </c>
      <c r="P50" s="262">
        <f t="shared" si="3"/>
        <v>0</v>
      </c>
    </row>
    <row r="51" spans="2:18" ht="19.5" customHeight="1" x14ac:dyDescent="0.2">
      <c r="B51" s="250">
        <f>B24</f>
        <v>0</v>
      </c>
      <c r="C51" s="83" t="str">
        <f t="shared" si="4"/>
        <v>Unidades</v>
      </c>
      <c r="D51" s="259">
        <f>IF('Datos generales'!$O$10&gt;'Datos generales'!E$1,0,'Previsión de negocio'!D67)</f>
        <v>0</v>
      </c>
      <c r="E51" s="259">
        <f>IF('Datos generales'!$O$10&gt;'Datos generales'!F$1,0,'Previsión de negocio'!E67)</f>
        <v>0</v>
      </c>
      <c r="F51" s="259">
        <f>IF('Datos generales'!$O$10&gt;'Datos generales'!G$1,0,'Previsión de negocio'!F67)</f>
        <v>0</v>
      </c>
      <c r="G51" s="259">
        <f>IF('Datos generales'!$O$10&gt;'Datos generales'!H$1,0,'Previsión de negocio'!G67)</f>
        <v>0</v>
      </c>
      <c r="H51" s="259">
        <f>IF('Datos generales'!$O$10&gt;'Datos generales'!I$1,0,'Previsión de negocio'!H67)</f>
        <v>0</v>
      </c>
      <c r="I51" s="259">
        <f>IF('Datos generales'!$O$10&gt;'Datos generales'!J$1,0,'Previsión de negocio'!I67)</f>
        <v>0</v>
      </c>
      <c r="J51" s="259">
        <f>IF('Datos generales'!$O$10&gt;'Datos generales'!K$1,0,'Previsión de negocio'!J67)</f>
        <v>0</v>
      </c>
      <c r="K51" s="259">
        <f>IF('Datos generales'!$O$10&gt;'Datos generales'!L$1,0,'Previsión de negocio'!K67)</f>
        <v>0</v>
      </c>
      <c r="L51" s="259">
        <f>IF('Datos generales'!$O$10&gt;'Datos generales'!M$1,0,'Previsión de negocio'!L67)</f>
        <v>0</v>
      </c>
      <c r="M51" s="259">
        <f>IF('Datos generales'!$O$10&gt;'Datos generales'!N$1,0,'Previsión de negocio'!M67)</f>
        <v>0</v>
      </c>
      <c r="N51" s="259">
        <f>IF('Datos generales'!$O$10&gt;'Datos generales'!O$1,0,'Previsión de negocio'!N67)</f>
        <v>0</v>
      </c>
      <c r="O51" s="259">
        <f>IF('Datos generales'!$O$10&gt;'Datos generales'!P$1,0,'Previsión de negocio'!O67)</f>
        <v>0</v>
      </c>
      <c r="P51" s="260">
        <f t="shared" si="3"/>
        <v>0</v>
      </c>
    </row>
    <row r="52" spans="2:18" ht="19.5" customHeight="1" thickBot="1" x14ac:dyDescent="0.25">
      <c r="B52" s="257"/>
      <c r="C52" s="261" t="str">
        <f t="shared" si="4"/>
        <v>Euros</v>
      </c>
      <c r="D52" s="258">
        <f>IF('Datos generales'!$O$10&gt;'Datos generales'!E$1,0,'Previsión de negocio'!D69)</f>
        <v>0</v>
      </c>
      <c r="E52" s="258">
        <f>IF('Datos generales'!$O$10&gt;'Datos generales'!F$1,0,'Previsión de negocio'!E69)</f>
        <v>0</v>
      </c>
      <c r="F52" s="258">
        <f>IF('Datos generales'!$O$10&gt;'Datos generales'!G$1,0,'Previsión de negocio'!F69)</f>
        <v>0</v>
      </c>
      <c r="G52" s="258">
        <f>IF('Datos generales'!$O$10&gt;'Datos generales'!H$1,0,'Previsión de negocio'!G69)</f>
        <v>0</v>
      </c>
      <c r="H52" s="258">
        <f>IF('Datos generales'!$O$10&gt;'Datos generales'!I$1,0,'Previsión de negocio'!H69)</f>
        <v>0</v>
      </c>
      <c r="I52" s="258">
        <f>IF('Datos generales'!$O$10&gt;'Datos generales'!J$1,0,'Previsión de negocio'!I69)</f>
        <v>0</v>
      </c>
      <c r="J52" s="258">
        <f>IF('Datos generales'!$O$10&gt;'Datos generales'!K$1,0,'Previsión de negocio'!J69)</f>
        <v>0</v>
      </c>
      <c r="K52" s="258">
        <f>IF('Datos generales'!$O$10&gt;'Datos generales'!L$1,0,'Previsión de negocio'!K69)</f>
        <v>0</v>
      </c>
      <c r="L52" s="258">
        <f>IF('Datos generales'!$O$10&gt;'Datos generales'!M$1,0,'Previsión de negocio'!L69)</f>
        <v>0</v>
      </c>
      <c r="M52" s="258">
        <f>IF('Datos generales'!$O$10&gt;'Datos generales'!N$1,0,'Previsión de negocio'!M69)</f>
        <v>0</v>
      </c>
      <c r="N52" s="258">
        <f>IF('Datos generales'!$O$10&gt;'Datos generales'!O$1,0,'Previsión de negocio'!N69)</f>
        <v>0</v>
      </c>
      <c r="O52" s="258">
        <f>IF('Datos generales'!$O$10&gt;'Datos generales'!P$1,0,'Previsión de negocio'!O69)</f>
        <v>0</v>
      </c>
      <c r="P52" s="262">
        <f t="shared" si="3"/>
        <v>0</v>
      </c>
    </row>
    <row r="53" spans="2:18" ht="19.5" customHeight="1" x14ac:dyDescent="0.2">
      <c r="B53" s="250">
        <f>B26</f>
        <v>0</v>
      </c>
      <c r="C53" s="83" t="str">
        <f t="shared" si="4"/>
        <v>Unidades</v>
      </c>
      <c r="D53" s="259">
        <f>IF('Datos generales'!$O$10&gt;'Datos generales'!E$1,0,'Previsión de negocio'!D73)</f>
        <v>0</v>
      </c>
      <c r="E53" s="259">
        <f>IF('Datos generales'!$O$10&gt;'Datos generales'!F$1,0,'Previsión de negocio'!E73)</f>
        <v>0</v>
      </c>
      <c r="F53" s="259">
        <f>IF('Datos generales'!$O$10&gt;'Datos generales'!G$1,0,'Previsión de negocio'!F73)</f>
        <v>0</v>
      </c>
      <c r="G53" s="259">
        <f>IF('Datos generales'!$O$10&gt;'Datos generales'!H$1,0,'Previsión de negocio'!G73)</f>
        <v>0</v>
      </c>
      <c r="H53" s="259">
        <f>IF('Datos generales'!$O$10&gt;'Datos generales'!I$1,0,'Previsión de negocio'!H73)</f>
        <v>0</v>
      </c>
      <c r="I53" s="259">
        <f>IF('Datos generales'!$O$10&gt;'Datos generales'!J$1,0,'Previsión de negocio'!I73)</f>
        <v>0</v>
      </c>
      <c r="J53" s="259">
        <f>IF('Datos generales'!$O$10&gt;'Datos generales'!K$1,0,'Previsión de negocio'!J73)</f>
        <v>0</v>
      </c>
      <c r="K53" s="259">
        <f>IF('Datos generales'!$O$10&gt;'Datos generales'!L$1,0,'Previsión de negocio'!K73)</f>
        <v>0</v>
      </c>
      <c r="L53" s="259">
        <f>IF('Datos generales'!$O$10&gt;'Datos generales'!M$1,0,'Previsión de negocio'!L73)</f>
        <v>0</v>
      </c>
      <c r="M53" s="259">
        <f>IF('Datos generales'!$O$10&gt;'Datos generales'!N$1,0,'Previsión de negocio'!M73)</f>
        <v>0</v>
      </c>
      <c r="N53" s="259">
        <f>IF('Datos generales'!$O$10&gt;'Datos generales'!O$1,0,'Previsión de negocio'!N73)</f>
        <v>0</v>
      </c>
      <c r="O53" s="259">
        <f>IF('Datos generales'!$O$10&gt;'Datos generales'!P$1,0,'Previsión de negocio'!O73)</f>
        <v>0</v>
      </c>
      <c r="P53" s="260">
        <f t="shared" ref="P53:P58" si="5">SUM(D53:O53)</f>
        <v>0</v>
      </c>
    </row>
    <row r="54" spans="2:18" ht="19.5" customHeight="1" thickBot="1" x14ac:dyDescent="0.25">
      <c r="B54" s="257"/>
      <c r="C54" s="261" t="str">
        <f t="shared" si="4"/>
        <v>Euros</v>
      </c>
      <c r="D54" s="258">
        <f>IF('Datos generales'!$O$10&gt;'Datos generales'!E$1,0,'Previsión de negocio'!D75)</f>
        <v>0</v>
      </c>
      <c r="E54" s="258">
        <f>IF('Datos generales'!$O$10&gt;'Datos generales'!F$1,0,'Previsión de negocio'!E75)</f>
        <v>0</v>
      </c>
      <c r="F54" s="258">
        <f>IF('Datos generales'!$O$10&gt;'Datos generales'!G$1,0,'Previsión de negocio'!F75)</f>
        <v>0</v>
      </c>
      <c r="G54" s="258">
        <f>IF('Datos generales'!$O$10&gt;'Datos generales'!H$1,0,'Previsión de negocio'!G75)</f>
        <v>0</v>
      </c>
      <c r="H54" s="258">
        <f>IF('Datos generales'!$O$10&gt;'Datos generales'!I$1,0,'Previsión de negocio'!H75)</f>
        <v>0</v>
      </c>
      <c r="I54" s="258">
        <f>IF('Datos generales'!$O$10&gt;'Datos generales'!J$1,0,'Previsión de negocio'!I75)</f>
        <v>0</v>
      </c>
      <c r="J54" s="258">
        <f>IF('Datos generales'!$O$10&gt;'Datos generales'!K$1,0,'Previsión de negocio'!J75)</f>
        <v>0</v>
      </c>
      <c r="K54" s="258">
        <f>IF('Datos generales'!$O$10&gt;'Datos generales'!L$1,0,'Previsión de negocio'!K75)</f>
        <v>0</v>
      </c>
      <c r="L54" s="258">
        <f>IF('Datos generales'!$O$10&gt;'Datos generales'!M$1,0,'Previsión de negocio'!L75)</f>
        <v>0</v>
      </c>
      <c r="M54" s="258">
        <f>IF('Datos generales'!$O$10&gt;'Datos generales'!N$1,0,'Previsión de negocio'!M75)</f>
        <v>0</v>
      </c>
      <c r="N54" s="258">
        <f>IF('Datos generales'!$O$10&gt;'Datos generales'!O$1,0,'Previsión de negocio'!N75)</f>
        <v>0</v>
      </c>
      <c r="O54" s="258">
        <f>IF('Datos generales'!$O$10&gt;'Datos generales'!P$1,0,'Previsión de negocio'!O75)</f>
        <v>0</v>
      </c>
      <c r="P54" s="262">
        <f t="shared" si="5"/>
        <v>0</v>
      </c>
    </row>
    <row r="55" spans="2:18" ht="19.5" customHeight="1" x14ac:dyDescent="0.2">
      <c r="B55" s="250">
        <f>B28</f>
        <v>0</v>
      </c>
      <c r="C55" s="83" t="str">
        <f t="shared" si="4"/>
        <v>Unidades</v>
      </c>
      <c r="D55" s="259">
        <f>IF('Datos generales'!$O$10&gt;'Datos generales'!E$1,0,'Previsión de negocio'!D79)</f>
        <v>0</v>
      </c>
      <c r="E55" s="259">
        <f>IF('Datos generales'!$O$10&gt;'Datos generales'!F$1,0,'Previsión de negocio'!E79)</f>
        <v>0</v>
      </c>
      <c r="F55" s="259">
        <f>IF('Datos generales'!$O$10&gt;'Datos generales'!G$1,0,'Previsión de negocio'!F79)</f>
        <v>0</v>
      </c>
      <c r="G55" s="259">
        <f>IF('Datos generales'!$O$10&gt;'Datos generales'!H$1,0,'Previsión de negocio'!G79)</f>
        <v>0</v>
      </c>
      <c r="H55" s="259">
        <f>IF('Datos generales'!$O$10&gt;'Datos generales'!I$1,0,'Previsión de negocio'!H79)</f>
        <v>0</v>
      </c>
      <c r="I55" s="259">
        <f>IF('Datos generales'!$O$10&gt;'Datos generales'!J$1,0,'Previsión de negocio'!I79)</f>
        <v>0</v>
      </c>
      <c r="J55" s="259">
        <f>IF('Datos generales'!$O$10&gt;'Datos generales'!K$1,0,'Previsión de negocio'!J79)</f>
        <v>0</v>
      </c>
      <c r="K55" s="259">
        <f>IF('Datos generales'!$O$10&gt;'Datos generales'!L$1,0,'Previsión de negocio'!K79)</f>
        <v>0</v>
      </c>
      <c r="L55" s="259">
        <f>IF('Datos generales'!$O$10&gt;'Datos generales'!M$1,0,'Previsión de negocio'!L79)</f>
        <v>0</v>
      </c>
      <c r="M55" s="259">
        <f>IF('Datos generales'!$O$10&gt;'Datos generales'!N$1,0,'Previsión de negocio'!M79)</f>
        <v>0</v>
      </c>
      <c r="N55" s="259">
        <f>IF('Datos generales'!$O$10&gt;'Datos generales'!O$1,0,'Previsión de negocio'!N79)</f>
        <v>0</v>
      </c>
      <c r="O55" s="259">
        <f>IF('Datos generales'!$O$10&gt;'Datos generales'!P$1,0,'Previsión de negocio'!O79)</f>
        <v>0</v>
      </c>
      <c r="P55" s="260">
        <f t="shared" si="5"/>
        <v>0</v>
      </c>
    </row>
    <row r="56" spans="2:18" ht="19.5" customHeight="1" thickBot="1" x14ac:dyDescent="0.25">
      <c r="B56" s="257"/>
      <c r="C56" s="261" t="str">
        <f t="shared" si="4"/>
        <v>Euros</v>
      </c>
      <c r="D56" s="258">
        <f>IF('Datos generales'!$O$10&gt;'Datos generales'!E$1,0,'Previsión de negocio'!D81)</f>
        <v>0</v>
      </c>
      <c r="E56" s="258">
        <f>IF('Datos generales'!$O$10&gt;'Datos generales'!F$1,0,'Previsión de negocio'!E81)</f>
        <v>0</v>
      </c>
      <c r="F56" s="258">
        <f>IF('Datos generales'!$O$10&gt;'Datos generales'!G$1,0,'Previsión de negocio'!F81)</f>
        <v>0</v>
      </c>
      <c r="G56" s="258">
        <f>IF('Datos generales'!$O$10&gt;'Datos generales'!H$1,0,'Previsión de negocio'!G81)</f>
        <v>0</v>
      </c>
      <c r="H56" s="258">
        <f>IF('Datos generales'!$O$10&gt;'Datos generales'!I$1,0,'Previsión de negocio'!H81)</f>
        <v>0</v>
      </c>
      <c r="I56" s="258">
        <f>IF('Datos generales'!$O$10&gt;'Datos generales'!J$1,0,'Previsión de negocio'!I81)</f>
        <v>0</v>
      </c>
      <c r="J56" s="258">
        <f>IF('Datos generales'!$O$10&gt;'Datos generales'!K$1,0,'Previsión de negocio'!J81)</f>
        <v>0</v>
      </c>
      <c r="K56" s="258">
        <f>IF('Datos generales'!$O$10&gt;'Datos generales'!L$1,0,'Previsión de negocio'!K81)</f>
        <v>0</v>
      </c>
      <c r="L56" s="258">
        <f>IF('Datos generales'!$O$10&gt;'Datos generales'!M$1,0,'Previsión de negocio'!L81)</f>
        <v>0</v>
      </c>
      <c r="M56" s="258">
        <f>IF('Datos generales'!$O$10&gt;'Datos generales'!N$1,0,'Previsión de negocio'!M81)</f>
        <v>0</v>
      </c>
      <c r="N56" s="258">
        <f>IF('Datos generales'!$O$10&gt;'Datos generales'!O$1,0,'Previsión de negocio'!N81)</f>
        <v>0</v>
      </c>
      <c r="O56" s="258">
        <f>IF('Datos generales'!$O$10&gt;'Datos generales'!P$1,0,'Previsión de negocio'!O81)</f>
        <v>0</v>
      </c>
      <c r="P56" s="262">
        <f t="shared" si="5"/>
        <v>0</v>
      </c>
    </row>
    <row r="57" spans="2:18" ht="19.5" customHeight="1" x14ac:dyDescent="0.2">
      <c r="B57" s="250">
        <f>B30</f>
        <v>0</v>
      </c>
      <c r="C57" s="83" t="str">
        <f t="shared" si="4"/>
        <v>Unidades</v>
      </c>
      <c r="D57" s="259">
        <f>IF('Datos generales'!$O$10&gt;'Datos generales'!E$1,0,'Previsión de negocio'!D85)</f>
        <v>0</v>
      </c>
      <c r="E57" s="259">
        <f>IF('Datos generales'!$O$10&gt;'Datos generales'!F$1,0,'Previsión de negocio'!E85)</f>
        <v>0</v>
      </c>
      <c r="F57" s="259">
        <f>IF('Datos generales'!$O$10&gt;'Datos generales'!G$1,0,'Previsión de negocio'!F85)</f>
        <v>0</v>
      </c>
      <c r="G57" s="259">
        <f>IF('Datos generales'!$O$10&gt;'Datos generales'!H$1,0,'Previsión de negocio'!G85)</f>
        <v>0</v>
      </c>
      <c r="H57" s="259">
        <f>IF('Datos generales'!$O$10&gt;'Datos generales'!I$1,0,'Previsión de negocio'!H85)</f>
        <v>0</v>
      </c>
      <c r="I57" s="259">
        <f>IF('Datos generales'!$O$10&gt;'Datos generales'!J$1,0,'Previsión de negocio'!I85)</f>
        <v>0</v>
      </c>
      <c r="J57" s="259">
        <f>IF('Datos generales'!$O$10&gt;'Datos generales'!K$1,0,'Previsión de negocio'!J85)</f>
        <v>0</v>
      </c>
      <c r="K57" s="259">
        <f>IF('Datos generales'!$O$10&gt;'Datos generales'!L$1,0,'Previsión de negocio'!K85)</f>
        <v>0</v>
      </c>
      <c r="L57" s="259">
        <f>IF('Datos generales'!$O$10&gt;'Datos generales'!M$1,0,'Previsión de negocio'!L85)</f>
        <v>0</v>
      </c>
      <c r="M57" s="259">
        <f>IF('Datos generales'!$O$10&gt;'Datos generales'!N$1,0,'Previsión de negocio'!M85)</f>
        <v>0</v>
      </c>
      <c r="N57" s="259">
        <f>IF('Datos generales'!$O$10&gt;'Datos generales'!O$1,0,'Previsión de negocio'!N85)</f>
        <v>0</v>
      </c>
      <c r="O57" s="259">
        <f>IF('Datos generales'!$O$10&gt;'Datos generales'!P$1,0,'Previsión de negocio'!O85)</f>
        <v>0</v>
      </c>
      <c r="P57" s="260">
        <f t="shared" si="5"/>
        <v>0</v>
      </c>
    </row>
    <row r="58" spans="2:18" ht="19.5" customHeight="1" thickBot="1" x14ac:dyDescent="0.25">
      <c r="B58" s="257"/>
      <c r="C58" s="261" t="str">
        <f t="shared" si="4"/>
        <v>Euros</v>
      </c>
      <c r="D58" s="258">
        <f>IF('Datos generales'!$O$10&gt;'Datos generales'!E$1,0,'Previsión de negocio'!D87)</f>
        <v>0</v>
      </c>
      <c r="E58" s="258">
        <f>IF('Datos generales'!$O$10&gt;'Datos generales'!F$1,0,'Previsión de negocio'!E87)</f>
        <v>0</v>
      </c>
      <c r="F58" s="258">
        <f>IF('Datos generales'!$O$10&gt;'Datos generales'!G$1,0,'Previsión de negocio'!F87)</f>
        <v>0</v>
      </c>
      <c r="G58" s="258">
        <f>IF('Datos generales'!$O$10&gt;'Datos generales'!H$1,0,'Previsión de negocio'!G87)</f>
        <v>0</v>
      </c>
      <c r="H58" s="258">
        <f>IF('Datos generales'!$O$10&gt;'Datos generales'!I$1,0,'Previsión de negocio'!H87)</f>
        <v>0</v>
      </c>
      <c r="I58" s="258">
        <f>IF('Datos generales'!$O$10&gt;'Datos generales'!J$1,0,'Previsión de negocio'!I87)</f>
        <v>0</v>
      </c>
      <c r="J58" s="258">
        <f>IF('Datos generales'!$O$10&gt;'Datos generales'!K$1,0,'Previsión de negocio'!J87)</f>
        <v>0</v>
      </c>
      <c r="K58" s="258">
        <f>IF('Datos generales'!$O$10&gt;'Datos generales'!L$1,0,'Previsión de negocio'!K87)</f>
        <v>0</v>
      </c>
      <c r="L58" s="258">
        <f>IF('Datos generales'!$O$10&gt;'Datos generales'!M$1,0,'Previsión de negocio'!L87)</f>
        <v>0</v>
      </c>
      <c r="M58" s="258">
        <f>IF('Datos generales'!$O$10&gt;'Datos generales'!N$1,0,'Previsión de negocio'!M87)</f>
        <v>0</v>
      </c>
      <c r="N58" s="258">
        <f>IF('Datos generales'!$O$10&gt;'Datos generales'!O$1,0,'Previsión de negocio'!N87)</f>
        <v>0</v>
      </c>
      <c r="O58" s="258">
        <f>IF('Datos generales'!$O$10&gt;'Datos generales'!P$1,0,'Previsión de negocio'!O87)</f>
        <v>0</v>
      </c>
      <c r="P58" s="262">
        <f t="shared" si="5"/>
        <v>0</v>
      </c>
    </row>
    <row r="59" spans="2:18" ht="19.5" customHeight="1" thickBot="1" x14ac:dyDescent="0.3">
      <c r="B59" s="251" t="str">
        <f>B32</f>
        <v>Total unidades:</v>
      </c>
      <c r="C59" s="245"/>
      <c r="D59" s="246">
        <f>+D39+D41+D43+D45+D47+D49+D51+D53+D55+D57</f>
        <v>0</v>
      </c>
      <c r="E59" s="246">
        <f t="shared" ref="E59:O59" si="6">+E39+E41+E43+E45+E47+E49+E51+E53+E55+E57</f>
        <v>0</v>
      </c>
      <c r="F59" s="246">
        <f t="shared" si="6"/>
        <v>0</v>
      </c>
      <c r="G59" s="246">
        <f t="shared" si="6"/>
        <v>0</v>
      </c>
      <c r="H59" s="246">
        <f t="shared" si="6"/>
        <v>0</v>
      </c>
      <c r="I59" s="246">
        <f t="shared" si="6"/>
        <v>0</v>
      </c>
      <c r="J59" s="246">
        <f t="shared" si="6"/>
        <v>0</v>
      </c>
      <c r="K59" s="246">
        <f t="shared" si="6"/>
        <v>0</v>
      </c>
      <c r="L59" s="246">
        <f t="shared" si="6"/>
        <v>0</v>
      </c>
      <c r="M59" s="246">
        <f t="shared" si="6"/>
        <v>0</v>
      </c>
      <c r="N59" s="246">
        <f t="shared" si="6"/>
        <v>0</v>
      </c>
      <c r="O59" s="246">
        <f t="shared" si="6"/>
        <v>0</v>
      </c>
      <c r="P59" s="252">
        <f t="shared" si="3"/>
        <v>0</v>
      </c>
    </row>
    <row r="60" spans="2:18" ht="19.5" customHeight="1" thickBot="1" x14ac:dyDescent="0.3">
      <c r="B60" s="253" t="str">
        <f>B33</f>
        <v>Total Euros:</v>
      </c>
      <c r="C60" s="254"/>
      <c r="D60" s="255">
        <f>+D40+D42+D44+D46+D48+D50+D52+D54+D56+D58</f>
        <v>0</v>
      </c>
      <c r="E60" s="255">
        <f t="shared" ref="E60:O60" si="7">+E40+E42+E44+E46+E48+E50+E52+E54+E56+E58</f>
        <v>0</v>
      </c>
      <c r="F60" s="255">
        <f t="shared" si="7"/>
        <v>0</v>
      </c>
      <c r="G60" s="255">
        <f t="shared" si="7"/>
        <v>0</v>
      </c>
      <c r="H60" s="255">
        <f t="shared" si="7"/>
        <v>0</v>
      </c>
      <c r="I60" s="255">
        <f t="shared" si="7"/>
        <v>0</v>
      </c>
      <c r="J60" s="255">
        <f t="shared" si="7"/>
        <v>0</v>
      </c>
      <c r="K60" s="255">
        <f t="shared" si="7"/>
        <v>0</v>
      </c>
      <c r="L60" s="255">
        <f t="shared" si="7"/>
        <v>0</v>
      </c>
      <c r="M60" s="255">
        <f t="shared" si="7"/>
        <v>0</v>
      </c>
      <c r="N60" s="255">
        <f t="shared" si="7"/>
        <v>0</v>
      </c>
      <c r="O60" s="255">
        <f t="shared" si="7"/>
        <v>0</v>
      </c>
      <c r="P60" s="256">
        <f t="shared" si="3"/>
        <v>0</v>
      </c>
      <c r="R60" s="157"/>
    </row>
    <row r="61" spans="2:18" ht="19.5" customHeight="1" thickTop="1" x14ac:dyDescent="0.2"/>
    <row r="62" spans="2:18" ht="19.5" customHeight="1" x14ac:dyDescent="0.25">
      <c r="B62" s="138" t="s">
        <v>468</v>
      </c>
    </row>
    <row r="63" spans="2:18" ht="19.5" customHeight="1" thickBot="1" x14ac:dyDescent="0.25"/>
    <row r="64" spans="2:18" ht="29.25" customHeight="1" thickTop="1" x14ac:dyDescent="0.25">
      <c r="B64" s="263" t="s">
        <v>700</v>
      </c>
      <c r="C64" s="55"/>
      <c r="D64" s="247" t="s">
        <v>117</v>
      </c>
      <c r="E64" s="56" t="s">
        <v>118</v>
      </c>
      <c r="F64" s="247" t="s">
        <v>119</v>
      </c>
      <c r="G64" s="247" t="s">
        <v>120</v>
      </c>
      <c r="H64" s="247" t="s">
        <v>121</v>
      </c>
      <c r="I64" s="247" t="s">
        <v>122</v>
      </c>
      <c r="J64" s="247" t="s">
        <v>123</v>
      </c>
      <c r="K64" s="247" t="s">
        <v>124</v>
      </c>
      <c r="L64" s="247" t="s">
        <v>125</v>
      </c>
      <c r="M64" s="247" t="s">
        <v>126</v>
      </c>
      <c r="N64" s="247" t="s">
        <v>127</v>
      </c>
      <c r="O64" s="248" t="s">
        <v>128</v>
      </c>
      <c r="P64" s="249" t="s">
        <v>129</v>
      </c>
    </row>
    <row r="65" spans="2:16" ht="19.5" customHeight="1" x14ac:dyDescent="0.2">
      <c r="B65" s="250" t="str">
        <f>B39</f>
        <v>Producto o servicio 1</v>
      </c>
      <c r="C65" s="83" t="str">
        <f>C39</f>
        <v>Unidades</v>
      </c>
      <c r="D65" s="946">
        <f>'Previsión de negocio'!D94</f>
        <v>0</v>
      </c>
      <c r="E65" s="946">
        <f>'Previsión de negocio'!E94</f>
        <v>0</v>
      </c>
      <c r="F65" s="946">
        <f>'Previsión de negocio'!F94</f>
        <v>0</v>
      </c>
      <c r="G65" s="946">
        <f>'Previsión de negocio'!G94</f>
        <v>0</v>
      </c>
      <c r="H65" s="946">
        <f>'Previsión de negocio'!H94</f>
        <v>0</v>
      </c>
      <c r="I65" s="946">
        <f>'Previsión de negocio'!I94</f>
        <v>0</v>
      </c>
      <c r="J65" s="946">
        <f>'Previsión de negocio'!J94</f>
        <v>0</v>
      </c>
      <c r="K65" s="946">
        <f>'Previsión de negocio'!K94</f>
        <v>0</v>
      </c>
      <c r="L65" s="946">
        <f>'Previsión de negocio'!L94</f>
        <v>0</v>
      </c>
      <c r="M65" s="946">
        <f>'Previsión de negocio'!M94</f>
        <v>0</v>
      </c>
      <c r="N65" s="946">
        <f>'Previsión de negocio'!N94</f>
        <v>0</v>
      </c>
      <c r="O65" s="946">
        <f>'Previsión de negocio'!O94</f>
        <v>0</v>
      </c>
      <c r="P65" s="260">
        <f t="shared" ref="P65:P86" si="8">SUM(D65:O65)</f>
        <v>0</v>
      </c>
    </row>
    <row r="66" spans="2:16" ht="19.5" customHeight="1" thickBot="1" x14ac:dyDescent="0.25">
      <c r="B66" s="257"/>
      <c r="C66" s="261" t="str">
        <f t="shared" ref="C66:C84" si="9">C40</f>
        <v>Euros</v>
      </c>
      <c r="D66" s="258">
        <f>'Previsión de negocio'!D96</f>
        <v>0</v>
      </c>
      <c r="E66" s="258">
        <f>'Previsión de negocio'!E96</f>
        <v>0</v>
      </c>
      <c r="F66" s="258">
        <f>'Previsión de negocio'!F96</f>
        <v>0</v>
      </c>
      <c r="G66" s="258">
        <f>'Previsión de negocio'!G96</f>
        <v>0</v>
      </c>
      <c r="H66" s="258">
        <f>'Previsión de negocio'!H96</f>
        <v>0</v>
      </c>
      <c r="I66" s="258">
        <f>'Previsión de negocio'!I96</f>
        <v>0</v>
      </c>
      <c r="J66" s="258">
        <f>'Previsión de negocio'!J96</f>
        <v>0</v>
      </c>
      <c r="K66" s="258">
        <f>'Previsión de negocio'!K96</f>
        <v>0</v>
      </c>
      <c r="L66" s="258">
        <f>'Previsión de negocio'!L96</f>
        <v>0</v>
      </c>
      <c r="M66" s="258">
        <f>'Previsión de negocio'!M96</f>
        <v>0</v>
      </c>
      <c r="N66" s="258">
        <f>'Previsión de negocio'!N96</f>
        <v>0</v>
      </c>
      <c r="O66" s="258">
        <f>'Previsión de negocio'!O96</f>
        <v>0</v>
      </c>
      <c r="P66" s="262">
        <f t="shared" si="8"/>
        <v>0</v>
      </c>
    </row>
    <row r="67" spans="2:16" ht="19.5" customHeight="1" x14ac:dyDescent="0.2">
      <c r="B67" s="250" t="str">
        <f>B41</f>
        <v>Producto o servicio 2</v>
      </c>
      <c r="C67" s="83" t="str">
        <f t="shared" si="9"/>
        <v>Unidades</v>
      </c>
      <c r="D67" s="946">
        <f>'Previsión de negocio'!D100</f>
        <v>0</v>
      </c>
      <c r="E67" s="946">
        <f>'Previsión de negocio'!E100</f>
        <v>0</v>
      </c>
      <c r="F67" s="946">
        <f>'Previsión de negocio'!F100</f>
        <v>0</v>
      </c>
      <c r="G67" s="946">
        <f>'Previsión de negocio'!G100</f>
        <v>0</v>
      </c>
      <c r="H67" s="946">
        <f>'Previsión de negocio'!H100</f>
        <v>0</v>
      </c>
      <c r="I67" s="946">
        <f>'Previsión de negocio'!I100</f>
        <v>0</v>
      </c>
      <c r="J67" s="946">
        <f>'Previsión de negocio'!J100</f>
        <v>0</v>
      </c>
      <c r="K67" s="946">
        <f>'Previsión de negocio'!K100</f>
        <v>0</v>
      </c>
      <c r="L67" s="946">
        <f>'Previsión de negocio'!L100</f>
        <v>0</v>
      </c>
      <c r="M67" s="946">
        <f>'Previsión de negocio'!M100</f>
        <v>0</v>
      </c>
      <c r="N67" s="946">
        <f>'Previsión de negocio'!N100</f>
        <v>0</v>
      </c>
      <c r="O67" s="946">
        <f>'Previsión de negocio'!O100</f>
        <v>0</v>
      </c>
      <c r="P67" s="260">
        <f t="shared" si="8"/>
        <v>0</v>
      </c>
    </row>
    <row r="68" spans="2:16" ht="19.5" customHeight="1" thickBot="1" x14ac:dyDescent="0.25">
      <c r="B68" s="257"/>
      <c r="C68" s="261" t="str">
        <f t="shared" si="9"/>
        <v>Euros</v>
      </c>
      <c r="D68" s="258">
        <f>'Previsión de negocio'!D102</f>
        <v>0</v>
      </c>
      <c r="E68" s="258">
        <f>'Previsión de negocio'!E102</f>
        <v>0</v>
      </c>
      <c r="F68" s="258">
        <f>'Previsión de negocio'!F102</f>
        <v>0</v>
      </c>
      <c r="G68" s="258">
        <f>'Previsión de negocio'!G102</f>
        <v>0</v>
      </c>
      <c r="H68" s="258">
        <f>'Previsión de negocio'!H102</f>
        <v>0</v>
      </c>
      <c r="I68" s="258">
        <f>'Previsión de negocio'!I102</f>
        <v>0</v>
      </c>
      <c r="J68" s="258">
        <f>'Previsión de negocio'!J102</f>
        <v>0</v>
      </c>
      <c r="K68" s="258">
        <f>'Previsión de negocio'!K102</f>
        <v>0</v>
      </c>
      <c r="L68" s="258">
        <f>'Previsión de negocio'!L102</f>
        <v>0</v>
      </c>
      <c r="M68" s="258">
        <f>'Previsión de negocio'!M102</f>
        <v>0</v>
      </c>
      <c r="N68" s="258">
        <f>'Previsión de negocio'!N102</f>
        <v>0</v>
      </c>
      <c r="O68" s="258">
        <f>'Previsión de negocio'!O102</f>
        <v>0</v>
      </c>
      <c r="P68" s="262">
        <f t="shared" si="8"/>
        <v>0</v>
      </c>
    </row>
    <row r="69" spans="2:16" ht="19.5" customHeight="1" x14ac:dyDescent="0.2">
      <c r="B69" s="250" t="str">
        <f>B43</f>
        <v>Producto o servicio 3</v>
      </c>
      <c r="C69" s="83" t="str">
        <f t="shared" si="9"/>
        <v>Unidades</v>
      </c>
      <c r="D69" s="946">
        <f>'Previsión de negocio'!D106</f>
        <v>0</v>
      </c>
      <c r="E69" s="946">
        <f>'Previsión de negocio'!E106</f>
        <v>0</v>
      </c>
      <c r="F69" s="946">
        <f>'Previsión de negocio'!F106</f>
        <v>0</v>
      </c>
      <c r="G69" s="946">
        <f>'Previsión de negocio'!G106</f>
        <v>0</v>
      </c>
      <c r="H69" s="946">
        <f>'Previsión de negocio'!H106</f>
        <v>0</v>
      </c>
      <c r="I69" s="946">
        <f>'Previsión de negocio'!I106</f>
        <v>0</v>
      </c>
      <c r="J69" s="946">
        <f>'Previsión de negocio'!J106</f>
        <v>0</v>
      </c>
      <c r="K69" s="946">
        <f>'Previsión de negocio'!K106</f>
        <v>0</v>
      </c>
      <c r="L69" s="946">
        <f>'Previsión de negocio'!L106</f>
        <v>0</v>
      </c>
      <c r="M69" s="946">
        <f>'Previsión de negocio'!M106</f>
        <v>0</v>
      </c>
      <c r="N69" s="946">
        <f>'Previsión de negocio'!N106</f>
        <v>0</v>
      </c>
      <c r="O69" s="946">
        <f>'Previsión de negocio'!O106</f>
        <v>0</v>
      </c>
      <c r="P69" s="260">
        <f t="shared" si="8"/>
        <v>0</v>
      </c>
    </row>
    <row r="70" spans="2:16" ht="19.5" customHeight="1" thickBot="1" x14ac:dyDescent="0.25">
      <c r="B70" s="257"/>
      <c r="C70" s="261" t="str">
        <f t="shared" si="9"/>
        <v>Euros</v>
      </c>
      <c r="D70" s="258">
        <f>'Previsión de negocio'!D108</f>
        <v>0</v>
      </c>
      <c r="E70" s="258">
        <f>'Previsión de negocio'!E108</f>
        <v>0</v>
      </c>
      <c r="F70" s="258">
        <f>'Previsión de negocio'!F108</f>
        <v>0</v>
      </c>
      <c r="G70" s="258">
        <f>'Previsión de negocio'!G108</f>
        <v>0</v>
      </c>
      <c r="H70" s="258">
        <f>'Previsión de negocio'!H108</f>
        <v>0</v>
      </c>
      <c r="I70" s="258">
        <f>'Previsión de negocio'!I108</f>
        <v>0</v>
      </c>
      <c r="J70" s="258">
        <f>'Previsión de negocio'!J108</f>
        <v>0</v>
      </c>
      <c r="K70" s="258">
        <f>'Previsión de negocio'!K108</f>
        <v>0</v>
      </c>
      <c r="L70" s="258">
        <f>'Previsión de negocio'!L108</f>
        <v>0</v>
      </c>
      <c r="M70" s="258">
        <f>'Previsión de negocio'!M108</f>
        <v>0</v>
      </c>
      <c r="N70" s="258">
        <f>'Previsión de negocio'!N108</f>
        <v>0</v>
      </c>
      <c r="O70" s="258">
        <f>'Previsión de negocio'!O108</f>
        <v>0</v>
      </c>
      <c r="P70" s="262">
        <f t="shared" si="8"/>
        <v>0</v>
      </c>
    </row>
    <row r="71" spans="2:16" ht="19.5" customHeight="1" x14ac:dyDescent="0.2">
      <c r="B71" s="250">
        <f>B45</f>
        <v>0</v>
      </c>
      <c r="C71" s="83" t="str">
        <f t="shared" si="9"/>
        <v>Unidades</v>
      </c>
      <c r="D71" s="946">
        <f>'Previsión de negocio'!D112</f>
        <v>0</v>
      </c>
      <c r="E71" s="946">
        <f>'Previsión de negocio'!E112</f>
        <v>0</v>
      </c>
      <c r="F71" s="946">
        <f>'Previsión de negocio'!F112</f>
        <v>0</v>
      </c>
      <c r="G71" s="946">
        <f>'Previsión de negocio'!G112</f>
        <v>0</v>
      </c>
      <c r="H71" s="946">
        <f>'Previsión de negocio'!H112</f>
        <v>0</v>
      </c>
      <c r="I71" s="946">
        <f>'Previsión de negocio'!I112</f>
        <v>0</v>
      </c>
      <c r="J71" s="946">
        <f>'Previsión de negocio'!J112</f>
        <v>0</v>
      </c>
      <c r="K71" s="946">
        <f>'Previsión de negocio'!K112</f>
        <v>0</v>
      </c>
      <c r="L71" s="946">
        <f>'Previsión de negocio'!L112</f>
        <v>0</v>
      </c>
      <c r="M71" s="946">
        <f>'Previsión de negocio'!M112</f>
        <v>0</v>
      </c>
      <c r="N71" s="946">
        <f>'Previsión de negocio'!N112</f>
        <v>0</v>
      </c>
      <c r="O71" s="946">
        <f>'Previsión de negocio'!O112</f>
        <v>0</v>
      </c>
      <c r="P71" s="260">
        <f t="shared" si="8"/>
        <v>0</v>
      </c>
    </row>
    <row r="72" spans="2:16" ht="19.5" customHeight="1" thickBot="1" x14ac:dyDescent="0.25">
      <c r="B72" s="257"/>
      <c r="C72" s="261" t="str">
        <f t="shared" si="9"/>
        <v>Euros</v>
      </c>
      <c r="D72" s="258">
        <f>'Previsión de negocio'!D114</f>
        <v>0</v>
      </c>
      <c r="E72" s="258">
        <f>'Previsión de negocio'!E114</f>
        <v>0</v>
      </c>
      <c r="F72" s="258">
        <f>'Previsión de negocio'!F114</f>
        <v>0</v>
      </c>
      <c r="G72" s="258">
        <f>'Previsión de negocio'!G114</f>
        <v>0</v>
      </c>
      <c r="H72" s="258">
        <f>'Previsión de negocio'!H114</f>
        <v>0</v>
      </c>
      <c r="I72" s="258">
        <f>'Previsión de negocio'!I114</f>
        <v>0</v>
      </c>
      <c r="J72" s="258">
        <f>'Previsión de negocio'!J114</f>
        <v>0</v>
      </c>
      <c r="K72" s="258">
        <f>'Previsión de negocio'!K114</f>
        <v>0</v>
      </c>
      <c r="L72" s="258">
        <f>'Previsión de negocio'!L114</f>
        <v>0</v>
      </c>
      <c r="M72" s="258">
        <f>'Previsión de negocio'!M114</f>
        <v>0</v>
      </c>
      <c r="N72" s="258">
        <f>'Previsión de negocio'!N114</f>
        <v>0</v>
      </c>
      <c r="O72" s="258">
        <f>'Previsión de negocio'!O114</f>
        <v>0</v>
      </c>
      <c r="P72" s="262">
        <f t="shared" si="8"/>
        <v>0</v>
      </c>
    </row>
    <row r="73" spans="2:16" ht="19.5" customHeight="1" x14ac:dyDescent="0.2">
      <c r="B73" s="250">
        <f>B47</f>
        <v>0</v>
      </c>
      <c r="C73" s="83" t="str">
        <f t="shared" si="9"/>
        <v>Unidades</v>
      </c>
      <c r="D73" s="946">
        <f>'Previsión de negocio'!D118</f>
        <v>0</v>
      </c>
      <c r="E73" s="946">
        <f>'Previsión de negocio'!E118</f>
        <v>0</v>
      </c>
      <c r="F73" s="946">
        <f>'Previsión de negocio'!F118</f>
        <v>0</v>
      </c>
      <c r="G73" s="946">
        <f>'Previsión de negocio'!G118</f>
        <v>0</v>
      </c>
      <c r="H73" s="946">
        <f>'Previsión de negocio'!H118</f>
        <v>0</v>
      </c>
      <c r="I73" s="946">
        <f>'Previsión de negocio'!I118</f>
        <v>0</v>
      </c>
      <c r="J73" s="946">
        <f>'Previsión de negocio'!J118</f>
        <v>0</v>
      </c>
      <c r="K73" s="946">
        <f>'Previsión de negocio'!K118</f>
        <v>0</v>
      </c>
      <c r="L73" s="946">
        <f>'Previsión de negocio'!L118</f>
        <v>0</v>
      </c>
      <c r="M73" s="946">
        <f>'Previsión de negocio'!M118</f>
        <v>0</v>
      </c>
      <c r="N73" s="946">
        <f>'Previsión de negocio'!N118</f>
        <v>0</v>
      </c>
      <c r="O73" s="946">
        <f>'Previsión de negocio'!O118</f>
        <v>0</v>
      </c>
      <c r="P73" s="260">
        <f t="shared" si="8"/>
        <v>0</v>
      </c>
    </row>
    <row r="74" spans="2:16" ht="19.5" customHeight="1" thickBot="1" x14ac:dyDescent="0.25">
      <c r="B74" s="257"/>
      <c r="C74" s="261" t="str">
        <f t="shared" si="9"/>
        <v>Euros</v>
      </c>
      <c r="D74" s="258">
        <f>'Previsión de negocio'!D120</f>
        <v>0</v>
      </c>
      <c r="E74" s="258">
        <f>'Previsión de negocio'!E120</f>
        <v>0</v>
      </c>
      <c r="F74" s="258">
        <f>'Previsión de negocio'!F120</f>
        <v>0</v>
      </c>
      <c r="G74" s="258">
        <f>'Previsión de negocio'!G120</f>
        <v>0</v>
      </c>
      <c r="H74" s="258">
        <f>'Previsión de negocio'!H120</f>
        <v>0</v>
      </c>
      <c r="I74" s="258">
        <f>'Previsión de negocio'!I120</f>
        <v>0</v>
      </c>
      <c r="J74" s="258">
        <f>'Previsión de negocio'!J120</f>
        <v>0</v>
      </c>
      <c r="K74" s="258">
        <f>'Previsión de negocio'!K120</f>
        <v>0</v>
      </c>
      <c r="L74" s="258">
        <f>'Previsión de negocio'!L120</f>
        <v>0</v>
      </c>
      <c r="M74" s="258">
        <f>'Previsión de negocio'!M120</f>
        <v>0</v>
      </c>
      <c r="N74" s="258">
        <f>'Previsión de negocio'!N120</f>
        <v>0</v>
      </c>
      <c r="O74" s="258">
        <f>'Previsión de negocio'!O120</f>
        <v>0</v>
      </c>
      <c r="P74" s="262">
        <f t="shared" si="8"/>
        <v>0</v>
      </c>
    </row>
    <row r="75" spans="2:16" ht="19.5" customHeight="1" x14ac:dyDescent="0.2">
      <c r="B75" s="250">
        <f>B49</f>
        <v>0</v>
      </c>
      <c r="C75" s="83" t="str">
        <f t="shared" si="9"/>
        <v>Unidades</v>
      </c>
      <c r="D75" s="946">
        <f>'Previsión de negocio'!D124</f>
        <v>0</v>
      </c>
      <c r="E75" s="946">
        <f>'Previsión de negocio'!E124</f>
        <v>0</v>
      </c>
      <c r="F75" s="946">
        <f>'Previsión de negocio'!F124</f>
        <v>0</v>
      </c>
      <c r="G75" s="946">
        <f>'Previsión de negocio'!G124</f>
        <v>0</v>
      </c>
      <c r="H75" s="946">
        <f>'Previsión de negocio'!H124</f>
        <v>0</v>
      </c>
      <c r="I75" s="946">
        <f>'Previsión de negocio'!I124</f>
        <v>0</v>
      </c>
      <c r="J75" s="946">
        <f>'Previsión de negocio'!J124</f>
        <v>0</v>
      </c>
      <c r="K75" s="946">
        <f>'Previsión de negocio'!K124</f>
        <v>0</v>
      </c>
      <c r="L75" s="946">
        <f>'Previsión de negocio'!L124</f>
        <v>0</v>
      </c>
      <c r="M75" s="946">
        <f>'Previsión de negocio'!M124</f>
        <v>0</v>
      </c>
      <c r="N75" s="946">
        <f>'Previsión de negocio'!N124</f>
        <v>0</v>
      </c>
      <c r="O75" s="946">
        <f>'Previsión de negocio'!O124</f>
        <v>0</v>
      </c>
      <c r="P75" s="260">
        <f t="shared" si="8"/>
        <v>0</v>
      </c>
    </row>
    <row r="76" spans="2:16" ht="19.5" customHeight="1" thickBot="1" x14ac:dyDescent="0.25">
      <c r="B76" s="257"/>
      <c r="C76" s="261" t="str">
        <f t="shared" si="9"/>
        <v>Euros</v>
      </c>
      <c r="D76" s="258">
        <f>'Previsión de negocio'!D126</f>
        <v>0</v>
      </c>
      <c r="E76" s="258">
        <f>'Previsión de negocio'!E126</f>
        <v>0</v>
      </c>
      <c r="F76" s="258">
        <f>'Previsión de negocio'!F126</f>
        <v>0</v>
      </c>
      <c r="G76" s="258">
        <f>'Previsión de negocio'!G126</f>
        <v>0</v>
      </c>
      <c r="H76" s="258">
        <f>'Previsión de negocio'!H126</f>
        <v>0</v>
      </c>
      <c r="I76" s="258">
        <f>'Previsión de negocio'!I126</f>
        <v>0</v>
      </c>
      <c r="J76" s="258">
        <f>'Previsión de negocio'!J126</f>
        <v>0</v>
      </c>
      <c r="K76" s="258">
        <f>'Previsión de negocio'!K126</f>
        <v>0</v>
      </c>
      <c r="L76" s="258">
        <f>'Previsión de negocio'!L126</f>
        <v>0</v>
      </c>
      <c r="M76" s="258">
        <f>'Previsión de negocio'!M126</f>
        <v>0</v>
      </c>
      <c r="N76" s="258">
        <f>'Previsión de negocio'!N126</f>
        <v>0</v>
      </c>
      <c r="O76" s="258">
        <f>'Previsión de negocio'!O126</f>
        <v>0</v>
      </c>
      <c r="P76" s="262">
        <f t="shared" si="8"/>
        <v>0</v>
      </c>
    </row>
    <row r="77" spans="2:16" ht="19.5" customHeight="1" x14ac:dyDescent="0.2">
      <c r="B77" s="250">
        <f>B51</f>
        <v>0</v>
      </c>
      <c r="C77" s="83" t="str">
        <f t="shared" si="9"/>
        <v>Unidades</v>
      </c>
      <c r="D77" s="946">
        <f>'Previsión de negocio'!D130</f>
        <v>0</v>
      </c>
      <c r="E77" s="946">
        <f>'Previsión de negocio'!E130</f>
        <v>0</v>
      </c>
      <c r="F77" s="946">
        <f>'Previsión de negocio'!F130</f>
        <v>0</v>
      </c>
      <c r="G77" s="946">
        <f>'Previsión de negocio'!G130</f>
        <v>0</v>
      </c>
      <c r="H77" s="946">
        <f>'Previsión de negocio'!H130</f>
        <v>0</v>
      </c>
      <c r="I77" s="946">
        <f>'Previsión de negocio'!I130</f>
        <v>0</v>
      </c>
      <c r="J77" s="946">
        <f>'Previsión de negocio'!J130</f>
        <v>0</v>
      </c>
      <c r="K77" s="946">
        <f>'Previsión de negocio'!K130</f>
        <v>0</v>
      </c>
      <c r="L77" s="946">
        <f>'Previsión de negocio'!L130</f>
        <v>0</v>
      </c>
      <c r="M77" s="946">
        <f>'Previsión de negocio'!M130</f>
        <v>0</v>
      </c>
      <c r="N77" s="946">
        <f>'Previsión de negocio'!N130</f>
        <v>0</v>
      </c>
      <c r="O77" s="946">
        <f>'Previsión de negocio'!O130</f>
        <v>0</v>
      </c>
      <c r="P77" s="260">
        <f t="shared" si="8"/>
        <v>0</v>
      </c>
    </row>
    <row r="78" spans="2:16" ht="19.5" customHeight="1" thickBot="1" x14ac:dyDescent="0.25">
      <c r="B78" s="257"/>
      <c r="C78" s="261" t="str">
        <f t="shared" si="9"/>
        <v>Euros</v>
      </c>
      <c r="D78" s="258">
        <f>'Previsión de negocio'!D132</f>
        <v>0</v>
      </c>
      <c r="E78" s="258">
        <f>'Previsión de negocio'!E132</f>
        <v>0</v>
      </c>
      <c r="F78" s="258">
        <f>'Previsión de negocio'!F132</f>
        <v>0</v>
      </c>
      <c r="G78" s="258">
        <f>'Previsión de negocio'!G132</f>
        <v>0</v>
      </c>
      <c r="H78" s="258">
        <f>'Previsión de negocio'!H132</f>
        <v>0</v>
      </c>
      <c r="I78" s="258">
        <f>'Previsión de negocio'!I132</f>
        <v>0</v>
      </c>
      <c r="J78" s="258">
        <f>'Previsión de negocio'!J132</f>
        <v>0</v>
      </c>
      <c r="K78" s="258">
        <f>'Previsión de negocio'!K132</f>
        <v>0</v>
      </c>
      <c r="L78" s="258">
        <f>'Previsión de negocio'!L132</f>
        <v>0</v>
      </c>
      <c r="M78" s="258">
        <f>'Previsión de negocio'!M132</f>
        <v>0</v>
      </c>
      <c r="N78" s="258">
        <f>'Previsión de negocio'!N132</f>
        <v>0</v>
      </c>
      <c r="O78" s="258">
        <f>'Previsión de negocio'!O132</f>
        <v>0</v>
      </c>
      <c r="P78" s="262">
        <f t="shared" si="8"/>
        <v>0</v>
      </c>
    </row>
    <row r="79" spans="2:16" ht="19.5" customHeight="1" x14ac:dyDescent="0.2">
      <c r="B79" s="250">
        <f>B53</f>
        <v>0</v>
      </c>
      <c r="C79" s="83" t="str">
        <f t="shared" si="9"/>
        <v>Unidades</v>
      </c>
      <c r="D79" s="946">
        <f>'Previsión de negocio'!D136</f>
        <v>0</v>
      </c>
      <c r="E79" s="946">
        <f>'Previsión de negocio'!E136</f>
        <v>0</v>
      </c>
      <c r="F79" s="946">
        <f>'Previsión de negocio'!F136</f>
        <v>0</v>
      </c>
      <c r="G79" s="946">
        <f>'Previsión de negocio'!G136</f>
        <v>0</v>
      </c>
      <c r="H79" s="946">
        <f>'Previsión de negocio'!H136</f>
        <v>0</v>
      </c>
      <c r="I79" s="946">
        <f>'Previsión de negocio'!I136</f>
        <v>0</v>
      </c>
      <c r="J79" s="946">
        <f>'Previsión de negocio'!J136</f>
        <v>0</v>
      </c>
      <c r="K79" s="946">
        <f>'Previsión de negocio'!K136</f>
        <v>0</v>
      </c>
      <c r="L79" s="946">
        <f>'Previsión de negocio'!L136</f>
        <v>0</v>
      </c>
      <c r="M79" s="946">
        <f>'Previsión de negocio'!M136</f>
        <v>0</v>
      </c>
      <c r="N79" s="946">
        <f>'Previsión de negocio'!N136</f>
        <v>0</v>
      </c>
      <c r="O79" s="946">
        <f>'Previsión de negocio'!O136</f>
        <v>0</v>
      </c>
      <c r="P79" s="260">
        <f t="shared" si="8"/>
        <v>0</v>
      </c>
    </row>
    <row r="80" spans="2:16" ht="19.5" customHeight="1" thickBot="1" x14ac:dyDescent="0.25">
      <c r="B80" s="257"/>
      <c r="C80" s="261" t="str">
        <f t="shared" si="9"/>
        <v>Euros</v>
      </c>
      <c r="D80" s="258">
        <f>'Previsión de negocio'!D138</f>
        <v>0</v>
      </c>
      <c r="E80" s="258">
        <f>'Previsión de negocio'!E138</f>
        <v>0</v>
      </c>
      <c r="F80" s="258">
        <f>'Previsión de negocio'!F138</f>
        <v>0</v>
      </c>
      <c r="G80" s="258">
        <f>'Previsión de negocio'!G138</f>
        <v>0</v>
      </c>
      <c r="H80" s="258">
        <f>'Previsión de negocio'!H138</f>
        <v>0</v>
      </c>
      <c r="I80" s="258">
        <f>'Previsión de negocio'!I138</f>
        <v>0</v>
      </c>
      <c r="J80" s="258">
        <f>'Previsión de negocio'!J138</f>
        <v>0</v>
      </c>
      <c r="K80" s="258">
        <f>'Previsión de negocio'!K138</f>
        <v>0</v>
      </c>
      <c r="L80" s="258">
        <f>'Previsión de negocio'!L138</f>
        <v>0</v>
      </c>
      <c r="M80" s="258">
        <f>'Previsión de negocio'!M138</f>
        <v>0</v>
      </c>
      <c r="N80" s="258">
        <f>'Previsión de negocio'!N138</f>
        <v>0</v>
      </c>
      <c r="O80" s="258">
        <f>'Previsión de negocio'!O138</f>
        <v>0</v>
      </c>
      <c r="P80" s="262">
        <f t="shared" si="8"/>
        <v>0</v>
      </c>
    </row>
    <row r="81" spans="2:18" ht="19.5" customHeight="1" x14ac:dyDescent="0.2">
      <c r="B81" s="250">
        <f>B55</f>
        <v>0</v>
      </c>
      <c r="C81" s="83" t="str">
        <f t="shared" si="9"/>
        <v>Unidades</v>
      </c>
      <c r="D81" s="946">
        <f>'Previsión de negocio'!D142</f>
        <v>0</v>
      </c>
      <c r="E81" s="946">
        <f>'Previsión de negocio'!E142</f>
        <v>0</v>
      </c>
      <c r="F81" s="946">
        <f>'Previsión de negocio'!F142</f>
        <v>0</v>
      </c>
      <c r="G81" s="946">
        <f>'Previsión de negocio'!G142</f>
        <v>0</v>
      </c>
      <c r="H81" s="946">
        <f>'Previsión de negocio'!H142</f>
        <v>0</v>
      </c>
      <c r="I81" s="946">
        <f>'Previsión de negocio'!I142</f>
        <v>0</v>
      </c>
      <c r="J81" s="946">
        <f>'Previsión de negocio'!J142</f>
        <v>0</v>
      </c>
      <c r="K81" s="946">
        <f>'Previsión de negocio'!K142</f>
        <v>0</v>
      </c>
      <c r="L81" s="946">
        <f>'Previsión de negocio'!L142</f>
        <v>0</v>
      </c>
      <c r="M81" s="946">
        <f>'Previsión de negocio'!M142</f>
        <v>0</v>
      </c>
      <c r="N81" s="946">
        <f>'Previsión de negocio'!N142</f>
        <v>0</v>
      </c>
      <c r="O81" s="946">
        <f>'Previsión de negocio'!O142</f>
        <v>0</v>
      </c>
      <c r="P81" s="260">
        <f t="shared" si="8"/>
        <v>0</v>
      </c>
    </row>
    <row r="82" spans="2:18" ht="19.5" customHeight="1" thickBot="1" x14ac:dyDescent="0.25">
      <c r="B82" s="257"/>
      <c r="C82" s="261" t="str">
        <f t="shared" si="9"/>
        <v>Euros</v>
      </c>
      <c r="D82" s="258">
        <f>'Previsión de negocio'!D144</f>
        <v>0</v>
      </c>
      <c r="E82" s="258">
        <f>'Previsión de negocio'!E144</f>
        <v>0</v>
      </c>
      <c r="F82" s="258">
        <f>'Previsión de negocio'!F144</f>
        <v>0</v>
      </c>
      <c r="G82" s="258">
        <f>'Previsión de negocio'!G144</f>
        <v>0</v>
      </c>
      <c r="H82" s="258">
        <f>'Previsión de negocio'!H144</f>
        <v>0</v>
      </c>
      <c r="I82" s="258">
        <f>'Previsión de negocio'!I144</f>
        <v>0</v>
      </c>
      <c r="J82" s="258">
        <f>'Previsión de negocio'!J144</f>
        <v>0</v>
      </c>
      <c r="K82" s="258">
        <f>'Previsión de negocio'!K144</f>
        <v>0</v>
      </c>
      <c r="L82" s="258">
        <f>'Previsión de negocio'!L144</f>
        <v>0</v>
      </c>
      <c r="M82" s="258">
        <f>'Previsión de negocio'!M144</f>
        <v>0</v>
      </c>
      <c r="N82" s="258">
        <f>'Previsión de negocio'!N144</f>
        <v>0</v>
      </c>
      <c r="O82" s="258">
        <f>'Previsión de negocio'!O144</f>
        <v>0</v>
      </c>
      <c r="P82" s="262">
        <f t="shared" si="8"/>
        <v>0</v>
      </c>
    </row>
    <row r="83" spans="2:18" ht="19.5" customHeight="1" x14ac:dyDescent="0.2">
      <c r="B83" s="250">
        <f>B57</f>
        <v>0</v>
      </c>
      <c r="C83" s="83" t="str">
        <f t="shared" si="9"/>
        <v>Unidades</v>
      </c>
      <c r="D83" s="946">
        <f>'Previsión de negocio'!D148</f>
        <v>0</v>
      </c>
      <c r="E83" s="946">
        <f>'Previsión de negocio'!E148</f>
        <v>0</v>
      </c>
      <c r="F83" s="946">
        <f>'Previsión de negocio'!F148</f>
        <v>0</v>
      </c>
      <c r="G83" s="946">
        <f>'Previsión de negocio'!G148</f>
        <v>0</v>
      </c>
      <c r="H83" s="946">
        <f>'Previsión de negocio'!H148</f>
        <v>0</v>
      </c>
      <c r="I83" s="946">
        <f>'Previsión de negocio'!I148</f>
        <v>0</v>
      </c>
      <c r="J83" s="946">
        <f>'Previsión de negocio'!J148</f>
        <v>0</v>
      </c>
      <c r="K83" s="946">
        <f>'Previsión de negocio'!K148</f>
        <v>0</v>
      </c>
      <c r="L83" s="946">
        <f>'Previsión de negocio'!L148</f>
        <v>0</v>
      </c>
      <c r="M83" s="946">
        <f>'Previsión de negocio'!M148</f>
        <v>0</v>
      </c>
      <c r="N83" s="946">
        <f>'Previsión de negocio'!N148</f>
        <v>0</v>
      </c>
      <c r="O83" s="946">
        <f>'Previsión de negocio'!O148</f>
        <v>0</v>
      </c>
      <c r="P83" s="260">
        <f t="shared" si="8"/>
        <v>0</v>
      </c>
    </row>
    <row r="84" spans="2:18" ht="19.5" customHeight="1" thickBot="1" x14ac:dyDescent="0.25">
      <c r="B84" s="257"/>
      <c r="C84" s="261" t="str">
        <f t="shared" si="9"/>
        <v>Euros</v>
      </c>
      <c r="D84" s="258">
        <f>'Previsión de negocio'!D150</f>
        <v>0</v>
      </c>
      <c r="E84" s="258">
        <f>'Previsión de negocio'!E150</f>
        <v>0</v>
      </c>
      <c r="F84" s="258">
        <f>'Previsión de negocio'!F150</f>
        <v>0</v>
      </c>
      <c r="G84" s="258">
        <f>'Previsión de negocio'!G150</f>
        <v>0</v>
      </c>
      <c r="H84" s="258">
        <f>'Previsión de negocio'!H150</f>
        <v>0</v>
      </c>
      <c r="I84" s="258">
        <f>'Previsión de negocio'!I150</f>
        <v>0</v>
      </c>
      <c r="J84" s="258">
        <f>'Previsión de negocio'!J150</f>
        <v>0</v>
      </c>
      <c r="K84" s="258">
        <f>'Previsión de negocio'!K150</f>
        <v>0</v>
      </c>
      <c r="L84" s="258">
        <f>'Previsión de negocio'!L150</f>
        <v>0</v>
      </c>
      <c r="M84" s="258">
        <f>'Previsión de negocio'!M150</f>
        <v>0</v>
      </c>
      <c r="N84" s="258">
        <f>'Previsión de negocio'!N150</f>
        <v>0</v>
      </c>
      <c r="O84" s="258">
        <f>'Previsión de negocio'!O150</f>
        <v>0</v>
      </c>
      <c r="P84" s="262">
        <f t="shared" si="8"/>
        <v>0</v>
      </c>
    </row>
    <row r="85" spans="2:18" ht="19.5" customHeight="1" thickBot="1" x14ac:dyDescent="0.3">
      <c r="B85" s="251" t="str">
        <f>B59</f>
        <v>Total unidades:</v>
      </c>
      <c r="C85" s="245"/>
      <c r="D85" s="246">
        <f>+D65+D67+D69+D71+D73+D75+D77+D79+D81+D83</f>
        <v>0</v>
      </c>
      <c r="E85" s="246">
        <f t="shared" ref="E85:O85" si="10">+E65+E67+E69+E71+E73+E75+E77+E79+E81+E83</f>
        <v>0</v>
      </c>
      <c r="F85" s="246">
        <f t="shared" si="10"/>
        <v>0</v>
      </c>
      <c r="G85" s="246">
        <f t="shared" si="10"/>
        <v>0</v>
      </c>
      <c r="H85" s="246">
        <f t="shared" si="10"/>
        <v>0</v>
      </c>
      <c r="I85" s="246">
        <f t="shared" si="10"/>
        <v>0</v>
      </c>
      <c r="J85" s="246">
        <f t="shared" si="10"/>
        <v>0</v>
      </c>
      <c r="K85" s="246">
        <f t="shared" si="10"/>
        <v>0</v>
      </c>
      <c r="L85" s="246">
        <f t="shared" si="10"/>
        <v>0</v>
      </c>
      <c r="M85" s="246">
        <f t="shared" si="10"/>
        <v>0</v>
      </c>
      <c r="N85" s="246">
        <f t="shared" si="10"/>
        <v>0</v>
      </c>
      <c r="O85" s="246">
        <f t="shared" si="10"/>
        <v>0</v>
      </c>
      <c r="P85" s="252">
        <f t="shared" si="8"/>
        <v>0</v>
      </c>
    </row>
    <row r="86" spans="2:18" ht="19.5" customHeight="1" thickBot="1" x14ac:dyDescent="0.3">
      <c r="B86" s="253" t="str">
        <f>B60</f>
        <v>Total Euros:</v>
      </c>
      <c r="C86" s="254"/>
      <c r="D86" s="255">
        <f>+D66+D68+D70+D72+D74+D76+D78+D80+D82+D84</f>
        <v>0</v>
      </c>
      <c r="E86" s="255">
        <f t="shared" ref="E86:O86" si="11">+E66+E68+E70+E72+E74+E76+E78+E80+E82+E84</f>
        <v>0</v>
      </c>
      <c r="F86" s="255">
        <f t="shared" si="11"/>
        <v>0</v>
      </c>
      <c r="G86" s="255">
        <f t="shared" si="11"/>
        <v>0</v>
      </c>
      <c r="H86" s="255">
        <f t="shared" si="11"/>
        <v>0</v>
      </c>
      <c r="I86" s="255">
        <f t="shared" si="11"/>
        <v>0</v>
      </c>
      <c r="J86" s="255">
        <f t="shared" si="11"/>
        <v>0</v>
      </c>
      <c r="K86" s="255">
        <f t="shared" si="11"/>
        <v>0</v>
      </c>
      <c r="L86" s="255">
        <f t="shared" si="11"/>
        <v>0</v>
      </c>
      <c r="M86" s="255">
        <f t="shared" si="11"/>
        <v>0</v>
      </c>
      <c r="N86" s="255">
        <f t="shared" si="11"/>
        <v>0</v>
      </c>
      <c r="O86" s="255">
        <f t="shared" si="11"/>
        <v>0</v>
      </c>
      <c r="P86" s="256">
        <f t="shared" si="8"/>
        <v>0</v>
      </c>
      <c r="R86" s="157"/>
    </row>
    <row r="87" spans="2:18" ht="19.5" customHeight="1" thickTop="1" x14ac:dyDescent="0.2"/>
    <row r="88" spans="2:18" ht="19.5" customHeight="1" x14ac:dyDescent="0.25">
      <c r="B88" s="138" t="s">
        <v>469</v>
      </c>
    </row>
    <row r="89" spans="2:18" ht="19.5" customHeight="1" thickBot="1" x14ac:dyDescent="0.25"/>
    <row r="90" spans="2:18" ht="29.25" customHeight="1" thickTop="1" x14ac:dyDescent="0.25">
      <c r="B90" s="263" t="s">
        <v>700</v>
      </c>
      <c r="C90" s="55"/>
      <c r="D90" s="247" t="s">
        <v>117</v>
      </c>
      <c r="E90" s="56" t="s">
        <v>118</v>
      </c>
      <c r="F90" s="247" t="s">
        <v>119</v>
      </c>
      <c r="G90" s="247" t="s">
        <v>120</v>
      </c>
      <c r="H90" s="247" t="s">
        <v>121</v>
      </c>
      <c r="I90" s="247" t="s">
        <v>122</v>
      </c>
      <c r="J90" s="247" t="s">
        <v>123</v>
      </c>
      <c r="K90" s="247" t="s">
        <v>124</v>
      </c>
      <c r="L90" s="247" t="s">
        <v>125</v>
      </c>
      <c r="M90" s="247" t="s">
        <v>126</v>
      </c>
      <c r="N90" s="247" t="s">
        <v>127</v>
      </c>
      <c r="O90" s="997" t="s">
        <v>128</v>
      </c>
      <c r="P90" s="634" t="s">
        <v>129</v>
      </c>
    </row>
    <row r="91" spans="2:18" ht="19.5" customHeight="1" x14ac:dyDescent="0.2">
      <c r="B91" s="250" t="str">
        <f>B65</f>
        <v>Producto o servicio 1</v>
      </c>
      <c r="C91" s="83" t="str">
        <f>C65</f>
        <v>Unidades</v>
      </c>
      <c r="D91" s="946">
        <f>'Previsión de negocio'!D157</f>
        <v>0</v>
      </c>
      <c r="E91" s="946">
        <f>'Previsión de negocio'!E157</f>
        <v>0</v>
      </c>
      <c r="F91" s="946">
        <f>'Previsión de negocio'!F157</f>
        <v>0</v>
      </c>
      <c r="G91" s="946">
        <f>'Previsión de negocio'!G157</f>
        <v>0</v>
      </c>
      <c r="H91" s="946">
        <f>'Previsión de negocio'!H157</f>
        <v>0</v>
      </c>
      <c r="I91" s="946">
        <f>'Previsión de negocio'!I157</f>
        <v>0</v>
      </c>
      <c r="J91" s="946">
        <f>'Previsión de negocio'!J157</f>
        <v>0</v>
      </c>
      <c r="K91" s="946">
        <f>'Previsión de negocio'!K157</f>
        <v>0</v>
      </c>
      <c r="L91" s="946">
        <f>'Previsión de negocio'!L157</f>
        <v>0</v>
      </c>
      <c r="M91" s="946">
        <f>'Previsión de negocio'!M157</f>
        <v>0</v>
      </c>
      <c r="N91" s="946">
        <f>'Previsión de negocio'!N157</f>
        <v>0</v>
      </c>
      <c r="O91" s="998">
        <f>'Previsión de negocio'!O157</f>
        <v>0</v>
      </c>
      <c r="P91" s="995">
        <f t="shared" ref="P91:P112" si="12">SUM(D91:O91)</f>
        <v>0</v>
      </c>
    </row>
    <row r="92" spans="2:18" ht="19.5" customHeight="1" thickBot="1" x14ac:dyDescent="0.25">
      <c r="B92" s="257"/>
      <c r="C92" s="261" t="str">
        <f t="shared" ref="C92:C110" si="13">C66</f>
        <v>Euros</v>
      </c>
      <c r="D92" s="258">
        <f>'Previsión de negocio'!D159</f>
        <v>0</v>
      </c>
      <c r="E92" s="258">
        <f>'Previsión de negocio'!E159</f>
        <v>0</v>
      </c>
      <c r="F92" s="258">
        <f>'Previsión de negocio'!F159</f>
        <v>0</v>
      </c>
      <c r="G92" s="258">
        <f>'Previsión de negocio'!G159</f>
        <v>0</v>
      </c>
      <c r="H92" s="258">
        <f>'Previsión de negocio'!H159</f>
        <v>0</v>
      </c>
      <c r="I92" s="258">
        <f>'Previsión de negocio'!I159</f>
        <v>0</v>
      </c>
      <c r="J92" s="258">
        <f>'Previsión de negocio'!J159</f>
        <v>0</v>
      </c>
      <c r="K92" s="258">
        <f>'Previsión de negocio'!K159</f>
        <v>0</v>
      </c>
      <c r="L92" s="258">
        <f>'Previsión de negocio'!L159</f>
        <v>0</v>
      </c>
      <c r="M92" s="258">
        <f>'Previsión de negocio'!M159</f>
        <v>0</v>
      </c>
      <c r="N92" s="258">
        <f>'Previsión de negocio'!N159</f>
        <v>0</v>
      </c>
      <c r="O92" s="999">
        <f>'Previsión de negocio'!O159</f>
        <v>0</v>
      </c>
      <c r="P92" s="949">
        <f t="shared" si="12"/>
        <v>0</v>
      </c>
    </row>
    <row r="93" spans="2:18" ht="19.5" customHeight="1" x14ac:dyDescent="0.2">
      <c r="B93" s="250" t="str">
        <f>B67</f>
        <v>Producto o servicio 2</v>
      </c>
      <c r="C93" s="83" t="str">
        <f t="shared" si="13"/>
        <v>Unidades</v>
      </c>
      <c r="D93" s="946">
        <f>'Previsión de negocio'!D163</f>
        <v>0</v>
      </c>
      <c r="E93" s="946">
        <f>'Previsión de negocio'!E163</f>
        <v>0</v>
      </c>
      <c r="F93" s="946">
        <f>'Previsión de negocio'!F163</f>
        <v>0</v>
      </c>
      <c r="G93" s="946">
        <f>'Previsión de negocio'!G163</f>
        <v>0</v>
      </c>
      <c r="H93" s="946">
        <f>'Previsión de negocio'!H163</f>
        <v>0</v>
      </c>
      <c r="I93" s="946">
        <f>'Previsión de negocio'!I163</f>
        <v>0</v>
      </c>
      <c r="J93" s="946">
        <f>'Previsión de negocio'!J163</f>
        <v>0</v>
      </c>
      <c r="K93" s="946">
        <f>'Previsión de negocio'!K163</f>
        <v>0</v>
      </c>
      <c r="L93" s="946">
        <f>'Previsión de negocio'!L163</f>
        <v>0</v>
      </c>
      <c r="M93" s="946">
        <f>'Previsión de negocio'!M163</f>
        <v>0</v>
      </c>
      <c r="N93" s="946">
        <f>'Previsión de negocio'!N163</f>
        <v>0</v>
      </c>
      <c r="O93" s="998">
        <f>'Previsión de negocio'!O163</f>
        <v>0</v>
      </c>
      <c r="P93" s="995">
        <f t="shared" si="12"/>
        <v>0</v>
      </c>
    </row>
    <row r="94" spans="2:18" ht="19.5" customHeight="1" thickBot="1" x14ac:dyDescent="0.25">
      <c r="B94" s="257"/>
      <c r="C94" s="261" t="str">
        <f t="shared" si="13"/>
        <v>Euros</v>
      </c>
      <c r="D94" s="258">
        <f>'Previsión de negocio'!D165</f>
        <v>0</v>
      </c>
      <c r="E94" s="258">
        <f>'Previsión de negocio'!E165</f>
        <v>0</v>
      </c>
      <c r="F94" s="258">
        <f>'Previsión de negocio'!F165</f>
        <v>0</v>
      </c>
      <c r="G94" s="258">
        <f>'Previsión de negocio'!G165</f>
        <v>0</v>
      </c>
      <c r="H94" s="258">
        <f>'Previsión de negocio'!H165</f>
        <v>0</v>
      </c>
      <c r="I94" s="258">
        <f>'Previsión de negocio'!I165</f>
        <v>0</v>
      </c>
      <c r="J94" s="258">
        <f>'Previsión de negocio'!J165</f>
        <v>0</v>
      </c>
      <c r="K94" s="258">
        <f>'Previsión de negocio'!K165</f>
        <v>0</v>
      </c>
      <c r="L94" s="258">
        <f>'Previsión de negocio'!L165</f>
        <v>0</v>
      </c>
      <c r="M94" s="258">
        <f>'Previsión de negocio'!M165</f>
        <v>0</v>
      </c>
      <c r="N94" s="258">
        <f>'Previsión de negocio'!N165</f>
        <v>0</v>
      </c>
      <c r="O94" s="999">
        <f>'Previsión de negocio'!O165</f>
        <v>0</v>
      </c>
      <c r="P94" s="949">
        <f t="shared" si="12"/>
        <v>0</v>
      </c>
    </row>
    <row r="95" spans="2:18" ht="19.5" customHeight="1" x14ac:dyDescent="0.2">
      <c r="B95" s="250" t="str">
        <f>B69</f>
        <v>Producto o servicio 3</v>
      </c>
      <c r="C95" s="83" t="str">
        <f t="shared" si="13"/>
        <v>Unidades</v>
      </c>
      <c r="D95" s="946">
        <f>'Previsión de negocio'!D169</f>
        <v>0</v>
      </c>
      <c r="E95" s="946">
        <f>'Previsión de negocio'!E169</f>
        <v>0</v>
      </c>
      <c r="F95" s="946">
        <f>'Previsión de negocio'!F169</f>
        <v>0</v>
      </c>
      <c r="G95" s="946">
        <f>'Previsión de negocio'!G169</f>
        <v>0</v>
      </c>
      <c r="H95" s="946">
        <f>'Previsión de negocio'!H169</f>
        <v>0</v>
      </c>
      <c r="I95" s="946">
        <f>'Previsión de negocio'!I169</f>
        <v>0</v>
      </c>
      <c r="J95" s="946">
        <f>'Previsión de negocio'!J169</f>
        <v>0</v>
      </c>
      <c r="K95" s="946">
        <f>'Previsión de negocio'!K169</f>
        <v>0</v>
      </c>
      <c r="L95" s="946">
        <f>'Previsión de negocio'!L169</f>
        <v>0</v>
      </c>
      <c r="M95" s="946">
        <f>'Previsión de negocio'!M169</f>
        <v>0</v>
      </c>
      <c r="N95" s="946">
        <f>'Previsión de negocio'!N169</f>
        <v>0</v>
      </c>
      <c r="O95" s="998">
        <f>'Previsión de negocio'!O169</f>
        <v>0</v>
      </c>
      <c r="P95" s="995">
        <f t="shared" si="12"/>
        <v>0</v>
      </c>
    </row>
    <row r="96" spans="2:18" ht="19.5" customHeight="1" thickBot="1" x14ac:dyDescent="0.25">
      <c r="B96" s="257"/>
      <c r="C96" s="261" t="str">
        <f t="shared" si="13"/>
        <v>Euros</v>
      </c>
      <c r="D96" s="258">
        <f>'Previsión de negocio'!D171</f>
        <v>0</v>
      </c>
      <c r="E96" s="258">
        <f>'Previsión de negocio'!E171</f>
        <v>0</v>
      </c>
      <c r="F96" s="258">
        <f>'Previsión de negocio'!F171</f>
        <v>0</v>
      </c>
      <c r="G96" s="258">
        <f>'Previsión de negocio'!G171</f>
        <v>0</v>
      </c>
      <c r="H96" s="258">
        <f>'Previsión de negocio'!H171</f>
        <v>0</v>
      </c>
      <c r="I96" s="258">
        <f>'Previsión de negocio'!I171</f>
        <v>0</v>
      </c>
      <c r="J96" s="258">
        <f>'Previsión de negocio'!J171</f>
        <v>0</v>
      </c>
      <c r="K96" s="258">
        <f>'Previsión de negocio'!K171</f>
        <v>0</v>
      </c>
      <c r="L96" s="258">
        <f>'Previsión de negocio'!L171</f>
        <v>0</v>
      </c>
      <c r="M96" s="258">
        <f>'Previsión de negocio'!M171</f>
        <v>0</v>
      </c>
      <c r="N96" s="258">
        <f>'Previsión de negocio'!N171</f>
        <v>0</v>
      </c>
      <c r="O96" s="999">
        <f>'Previsión de negocio'!O171</f>
        <v>0</v>
      </c>
      <c r="P96" s="949">
        <f t="shared" si="12"/>
        <v>0</v>
      </c>
    </row>
    <row r="97" spans="2:18" ht="19.5" customHeight="1" x14ac:dyDescent="0.2">
      <c r="B97" s="250">
        <f>B71</f>
        <v>0</v>
      </c>
      <c r="C97" s="83" t="str">
        <f t="shared" si="13"/>
        <v>Unidades</v>
      </c>
      <c r="D97" s="946">
        <f>'Previsión de negocio'!D175</f>
        <v>0</v>
      </c>
      <c r="E97" s="946">
        <f>'Previsión de negocio'!E175</f>
        <v>0</v>
      </c>
      <c r="F97" s="946">
        <f>'Previsión de negocio'!F175</f>
        <v>0</v>
      </c>
      <c r="G97" s="946">
        <f>'Previsión de negocio'!G175</f>
        <v>0</v>
      </c>
      <c r="H97" s="946">
        <f>'Previsión de negocio'!H175</f>
        <v>0</v>
      </c>
      <c r="I97" s="946">
        <f>'Previsión de negocio'!I175</f>
        <v>0</v>
      </c>
      <c r="J97" s="946">
        <f>'Previsión de negocio'!J175</f>
        <v>0</v>
      </c>
      <c r="K97" s="946">
        <f>'Previsión de negocio'!K175</f>
        <v>0</v>
      </c>
      <c r="L97" s="946">
        <f>'Previsión de negocio'!L175</f>
        <v>0</v>
      </c>
      <c r="M97" s="946">
        <f>'Previsión de negocio'!M175</f>
        <v>0</v>
      </c>
      <c r="N97" s="946">
        <f>'Previsión de negocio'!N175</f>
        <v>0</v>
      </c>
      <c r="O97" s="998">
        <f>'Previsión de negocio'!O175</f>
        <v>0</v>
      </c>
      <c r="P97" s="995">
        <f t="shared" si="12"/>
        <v>0</v>
      </c>
    </row>
    <row r="98" spans="2:18" ht="19.5" customHeight="1" thickBot="1" x14ac:dyDescent="0.25">
      <c r="B98" s="257"/>
      <c r="C98" s="261" t="str">
        <f t="shared" si="13"/>
        <v>Euros</v>
      </c>
      <c r="D98" s="258">
        <f>'Previsión de negocio'!D177</f>
        <v>0</v>
      </c>
      <c r="E98" s="258">
        <f>'Previsión de negocio'!E177</f>
        <v>0</v>
      </c>
      <c r="F98" s="258">
        <f>'Previsión de negocio'!F177</f>
        <v>0</v>
      </c>
      <c r="G98" s="258">
        <f>'Previsión de negocio'!G177</f>
        <v>0</v>
      </c>
      <c r="H98" s="258">
        <f>'Previsión de negocio'!H177</f>
        <v>0</v>
      </c>
      <c r="I98" s="258">
        <f>'Previsión de negocio'!I177</f>
        <v>0</v>
      </c>
      <c r="J98" s="258">
        <f>'Previsión de negocio'!J177</f>
        <v>0</v>
      </c>
      <c r="K98" s="258">
        <f>'Previsión de negocio'!K177</f>
        <v>0</v>
      </c>
      <c r="L98" s="258">
        <f>'Previsión de negocio'!L177</f>
        <v>0</v>
      </c>
      <c r="M98" s="258">
        <f>'Previsión de negocio'!M177</f>
        <v>0</v>
      </c>
      <c r="N98" s="258">
        <f>'Previsión de negocio'!N177</f>
        <v>0</v>
      </c>
      <c r="O98" s="999">
        <f>'Previsión de negocio'!O177</f>
        <v>0</v>
      </c>
      <c r="P98" s="949">
        <f t="shared" si="12"/>
        <v>0</v>
      </c>
    </row>
    <row r="99" spans="2:18" ht="19.5" customHeight="1" x14ac:dyDescent="0.2">
      <c r="B99" s="250">
        <f>B73</f>
        <v>0</v>
      </c>
      <c r="C99" s="83" t="str">
        <f t="shared" si="13"/>
        <v>Unidades</v>
      </c>
      <c r="D99" s="946">
        <f>'Previsión de negocio'!D181</f>
        <v>0</v>
      </c>
      <c r="E99" s="946">
        <f>'Previsión de negocio'!E181</f>
        <v>0</v>
      </c>
      <c r="F99" s="946">
        <f>'Previsión de negocio'!F181</f>
        <v>0</v>
      </c>
      <c r="G99" s="946">
        <f>'Previsión de negocio'!G181</f>
        <v>0</v>
      </c>
      <c r="H99" s="946">
        <f>'Previsión de negocio'!H181</f>
        <v>0</v>
      </c>
      <c r="I99" s="946">
        <f>'Previsión de negocio'!I181</f>
        <v>0</v>
      </c>
      <c r="J99" s="946">
        <f>'Previsión de negocio'!J181</f>
        <v>0</v>
      </c>
      <c r="K99" s="946">
        <f>'Previsión de negocio'!K181</f>
        <v>0</v>
      </c>
      <c r="L99" s="946">
        <f>'Previsión de negocio'!L181</f>
        <v>0</v>
      </c>
      <c r="M99" s="946">
        <f>'Previsión de negocio'!M181</f>
        <v>0</v>
      </c>
      <c r="N99" s="946">
        <f>'Previsión de negocio'!N181</f>
        <v>0</v>
      </c>
      <c r="O99" s="998">
        <f>'Previsión de negocio'!O181</f>
        <v>0</v>
      </c>
      <c r="P99" s="995">
        <f t="shared" si="12"/>
        <v>0</v>
      </c>
    </row>
    <row r="100" spans="2:18" ht="19.5" customHeight="1" thickBot="1" x14ac:dyDescent="0.25">
      <c r="B100" s="257"/>
      <c r="C100" s="261" t="str">
        <f t="shared" si="13"/>
        <v>Euros</v>
      </c>
      <c r="D100" s="258">
        <f>'Previsión de negocio'!D183</f>
        <v>0</v>
      </c>
      <c r="E100" s="258">
        <f>'Previsión de negocio'!E183</f>
        <v>0</v>
      </c>
      <c r="F100" s="258">
        <f>'Previsión de negocio'!F183</f>
        <v>0</v>
      </c>
      <c r="G100" s="258">
        <f>'Previsión de negocio'!G183</f>
        <v>0</v>
      </c>
      <c r="H100" s="258">
        <f>'Previsión de negocio'!H183</f>
        <v>0</v>
      </c>
      <c r="I100" s="258">
        <f>'Previsión de negocio'!I183</f>
        <v>0</v>
      </c>
      <c r="J100" s="258">
        <f>'Previsión de negocio'!J183</f>
        <v>0</v>
      </c>
      <c r="K100" s="258">
        <f>'Previsión de negocio'!K183</f>
        <v>0</v>
      </c>
      <c r="L100" s="258">
        <f>'Previsión de negocio'!L183</f>
        <v>0</v>
      </c>
      <c r="M100" s="258">
        <f>'Previsión de negocio'!M183</f>
        <v>0</v>
      </c>
      <c r="N100" s="258">
        <f>'Previsión de negocio'!N183</f>
        <v>0</v>
      </c>
      <c r="O100" s="999">
        <f>'Previsión de negocio'!O183</f>
        <v>0</v>
      </c>
      <c r="P100" s="949">
        <f t="shared" si="12"/>
        <v>0</v>
      </c>
    </row>
    <row r="101" spans="2:18" ht="19.5" customHeight="1" x14ac:dyDescent="0.2">
      <c r="B101" s="250">
        <f>B75</f>
        <v>0</v>
      </c>
      <c r="C101" s="83" t="str">
        <f t="shared" si="13"/>
        <v>Unidades</v>
      </c>
      <c r="D101" s="946">
        <f>'Previsión de negocio'!D187</f>
        <v>0</v>
      </c>
      <c r="E101" s="946">
        <f>'Previsión de negocio'!E187</f>
        <v>0</v>
      </c>
      <c r="F101" s="946">
        <f>'Previsión de negocio'!F187</f>
        <v>0</v>
      </c>
      <c r="G101" s="946">
        <f>'Previsión de negocio'!G187</f>
        <v>0</v>
      </c>
      <c r="H101" s="946">
        <f>'Previsión de negocio'!H187</f>
        <v>0</v>
      </c>
      <c r="I101" s="946">
        <f>'Previsión de negocio'!I187</f>
        <v>0</v>
      </c>
      <c r="J101" s="946">
        <f>'Previsión de negocio'!J187</f>
        <v>0</v>
      </c>
      <c r="K101" s="946">
        <f>'Previsión de negocio'!K187</f>
        <v>0</v>
      </c>
      <c r="L101" s="946">
        <f>'Previsión de negocio'!L187</f>
        <v>0</v>
      </c>
      <c r="M101" s="946">
        <f>'Previsión de negocio'!M187</f>
        <v>0</v>
      </c>
      <c r="N101" s="946">
        <f>'Previsión de negocio'!N187</f>
        <v>0</v>
      </c>
      <c r="O101" s="998">
        <f>'Previsión de negocio'!O187</f>
        <v>0</v>
      </c>
      <c r="P101" s="995">
        <f t="shared" si="12"/>
        <v>0</v>
      </c>
    </row>
    <row r="102" spans="2:18" ht="19.5" customHeight="1" thickBot="1" x14ac:dyDescent="0.25">
      <c r="B102" s="257"/>
      <c r="C102" s="261" t="str">
        <f t="shared" si="13"/>
        <v>Euros</v>
      </c>
      <c r="D102" s="258">
        <f>'Previsión de negocio'!D189</f>
        <v>0</v>
      </c>
      <c r="E102" s="258">
        <f>'Previsión de negocio'!E189</f>
        <v>0</v>
      </c>
      <c r="F102" s="258">
        <f>'Previsión de negocio'!F189</f>
        <v>0</v>
      </c>
      <c r="G102" s="258">
        <f>'Previsión de negocio'!G189</f>
        <v>0</v>
      </c>
      <c r="H102" s="258">
        <f>'Previsión de negocio'!H189</f>
        <v>0</v>
      </c>
      <c r="I102" s="258">
        <f>'Previsión de negocio'!I189</f>
        <v>0</v>
      </c>
      <c r="J102" s="258">
        <f>'Previsión de negocio'!J189</f>
        <v>0</v>
      </c>
      <c r="K102" s="258">
        <f>'Previsión de negocio'!K189</f>
        <v>0</v>
      </c>
      <c r="L102" s="258">
        <f>'Previsión de negocio'!L189</f>
        <v>0</v>
      </c>
      <c r="M102" s="258">
        <f>'Previsión de negocio'!M189</f>
        <v>0</v>
      </c>
      <c r="N102" s="258">
        <f>'Previsión de negocio'!N189</f>
        <v>0</v>
      </c>
      <c r="O102" s="999">
        <f>'Previsión de negocio'!O189</f>
        <v>0</v>
      </c>
      <c r="P102" s="949">
        <f t="shared" si="12"/>
        <v>0</v>
      </c>
    </row>
    <row r="103" spans="2:18" ht="19.5" customHeight="1" x14ac:dyDescent="0.2">
      <c r="B103" s="250">
        <f>B77</f>
        <v>0</v>
      </c>
      <c r="C103" s="83" t="str">
        <f t="shared" si="13"/>
        <v>Unidades</v>
      </c>
      <c r="D103" s="946">
        <f>'Previsión de negocio'!D193</f>
        <v>0</v>
      </c>
      <c r="E103" s="946">
        <f>'Previsión de negocio'!E193</f>
        <v>0</v>
      </c>
      <c r="F103" s="946">
        <f>'Previsión de negocio'!F193</f>
        <v>0</v>
      </c>
      <c r="G103" s="946">
        <f>'Previsión de negocio'!G193</f>
        <v>0</v>
      </c>
      <c r="H103" s="946">
        <f>'Previsión de negocio'!H193</f>
        <v>0</v>
      </c>
      <c r="I103" s="946">
        <f>'Previsión de negocio'!I193</f>
        <v>0</v>
      </c>
      <c r="J103" s="946">
        <f>'Previsión de negocio'!J193</f>
        <v>0</v>
      </c>
      <c r="K103" s="946">
        <f>'Previsión de negocio'!K193</f>
        <v>0</v>
      </c>
      <c r="L103" s="946">
        <f>'Previsión de negocio'!L193</f>
        <v>0</v>
      </c>
      <c r="M103" s="946">
        <f>'Previsión de negocio'!M193</f>
        <v>0</v>
      </c>
      <c r="N103" s="946">
        <f>'Previsión de negocio'!N193</f>
        <v>0</v>
      </c>
      <c r="O103" s="998">
        <f>'Previsión de negocio'!O193</f>
        <v>0</v>
      </c>
      <c r="P103" s="995">
        <f t="shared" si="12"/>
        <v>0</v>
      </c>
    </row>
    <row r="104" spans="2:18" ht="19.5" customHeight="1" thickBot="1" x14ac:dyDescent="0.25">
      <c r="B104" s="257"/>
      <c r="C104" s="261" t="str">
        <f t="shared" si="13"/>
        <v>Euros</v>
      </c>
      <c r="D104" s="258">
        <f>'Previsión de negocio'!D195</f>
        <v>0</v>
      </c>
      <c r="E104" s="258">
        <f>'Previsión de negocio'!E195</f>
        <v>0</v>
      </c>
      <c r="F104" s="258">
        <f>'Previsión de negocio'!F195</f>
        <v>0</v>
      </c>
      <c r="G104" s="258">
        <f>'Previsión de negocio'!G195</f>
        <v>0</v>
      </c>
      <c r="H104" s="258">
        <f>'Previsión de negocio'!H195</f>
        <v>0</v>
      </c>
      <c r="I104" s="258">
        <f>'Previsión de negocio'!I195</f>
        <v>0</v>
      </c>
      <c r="J104" s="258">
        <f>'Previsión de negocio'!J195</f>
        <v>0</v>
      </c>
      <c r="K104" s="258">
        <f>'Previsión de negocio'!K195</f>
        <v>0</v>
      </c>
      <c r="L104" s="258">
        <f>'Previsión de negocio'!L195</f>
        <v>0</v>
      </c>
      <c r="M104" s="258">
        <f>'Previsión de negocio'!M195</f>
        <v>0</v>
      </c>
      <c r="N104" s="258">
        <f>'Previsión de negocio'!N195</f>
        <v>0</v>
      </c>
      <c r="O104" s="999">
        <f>'Previsión de negocio'!O195</f>
        <v>0</v>
      </c>
      <c r="P104" s="949">
        <f t="shared" si="12"/>
        <v>0</v>
      </c>
    </row>
    <row r="105" spans="2:18" ht="19.5" customHeight="1" x14ac:dyDescent="0.2">
      <c r="B105" s="250">
        <f>B79</f>
        <v>0</v>
      </c>
      <c r="C105" s="83" t="str">
        <f t="shared" si="13"/>
        <v>Unidades</v>
      </c>
      <c r="D105" s="946">
        <f>'Previsión de negocio'!D199</f>
        <v>0</v>
      </c>
      <c r="E105" s="946">
        <f>'Previsión de negocio'!E199</f>
        <v>0</v>
      </c>
      <c r="F105" s="946">
        <f>'Previsión de negocio'!F199</f>
        <v>0</v>
      </c>
      <c r="G105" s="946">
        <f>'Previsión de negocio'!G199</f>
        <v>0</v>
      </c>
      <c r="H105" s="946">
        <f>'Previsión de negocio'!H199</f>
        <v>0</v>
      </c>
      <c r="I105" s="946">
        <f>'Previsión de negocio'!I199</f>
        <v>0</v>
      </c>
      <c r="J105" s="946">
        <f>'Previsión de negocio'!J199</f>
        <v>0</v>
      </c>
      <c r="K105" s="946">
        <f>'Previsión de negocio'!K199</f>
        <v>0</v>
      </c>
      <c r="L105" s="946">
        <f>'Previsión de negocio'!L199</f>
        <v>0</v>
      </c>
      <c r="M105" s="946">
        <f>'Previsión de negocio'!M199</f>
        <v>0</v>
      </c>
      <c r="N105" s="946">
        <f>'Previsión de negocio'!N199</f>
        <v>0</v>
      </c>
      <c r="O105" s="998">
        <f>'Previsión de negocio'!O199</f>
        <v>0</v>
      </c>
      <c r="P105" s="995">
        <f t="shared" si="12"/>
        <v>0</v>
      </c>
    </row>
    <row r="106" spans="2:18" ht="19.5" customHeight="1" thickBot="1" x14ac:dyDescent="0.25">
      <c r="B106" s="257"/>
      <c r="C106" s="261" t="str">
        <f t="shared" si="13"/>
        <v>Euros</v>
      </c>
      <c r="D106" s="258">
        <f>'Previsión de negocio'!D201</f>
        <v>0</v>
      </c>
      <c r="E106" s="258">
        <f>'Previsión de negocio'!E201</f>
        <v>0</v>
      </c>
      <c r="F106" s="258">
        <f>'Previsión de negocio'!F201</f>
        <v>0</v>
      </c>
      <c r="G106" s="258">
        <f>'Previsión de negocio'!G201</f>
        <v>0</v>
      </c>
      <c r="H106" s="258">
        <f>'Previsión de negocio'!H201</f>
        <v>0</v>
      </c>
      <c r="I106" s="258">
        <f>'Previsión de negocio'!I201</f>
        <v>0</v>
      </c>
      <c r="J106" s="258">
        <f>'Previsión de negocio'!J201</f>
        <v>0</v>
      </c>
      <c r="K106" s="258">
        <f>'Previsión de negocio'!K201</f>
        <v>0</v>
      </c>
      <c r="L106" s="258">
        <f>'Previsión de negocio'!L201</f>
        <v>0</v>
      </c>
      <c r="M106" s="258">
        <f>'Previsión de negocio'!M201</f>
        <v>0</v>
      </c>
      <c r="N106" s="258">
        <f>'Previsión de negocio'!N201</f>
        <v>0</v>
      </c>
      <c r="O106" s="999">
        <f>'Previsión de negocio'!O201</f>
        <v>0</v>
      </c>
      <c r="P106" s="949">
        <f t="shared" si="12"/>
        <v>0</v>
      </c>
    </row>
    <row r="107" spans="2:18" ht="19.5" customHeight="1" x14ac:dyDescent="0.2">
      <c r="B107" s="250">
        <f>B81</f>
        <v>0</v>
      </c>
      <c r="C107" s="83" t="str">
        <f t="shared" si="13"/>
        <v>Unidades</v>
      </c>
      <c r="D107" s="946">
        <f>'Previsión de negocio'!D205</f>
        <v>0</v>
      </c>
      <c r="E107" s="946">
        <f>'Previsión de negocio'!E205</f>
        <v>0</v>
      </c>
      <c r="F107" s="946">
        <f>'Previsión de negocio'!F205</f>
        <v>0</v>
      </c>
      <c r="G107" s="946">
        <f>'Previsión de negocio'!G205</f>
        <v>0</v>
      </c>
      <c r="H107" s="946">
        <f>'Previsión de negocio'!H205</f>
        <v>0</v>
      </c>
      <c r="I107" s="946">
        <f>'Previsión de negocio'!I205</f>
        <v>0</v>
      </c>
      <c r="J107" s="946">
        <f>'Previsión de negocio'!J205</f>
        <v>0</v>
      </c>
      <c r="K107" s="946">
        <f>'Previsión de negocio'!K205</f>
        <v>0</v>
      </c>
      <c r="L107" s="946">
        <f>'Previsión de negocio'!L205</f>
        <v>0</v>
      </c>
      <c r="M107" s="946">
        <f>'Previsión de negocio'!M205</f>
        <v>0</v>
      </c>
      <c r="N107" s="946">
        <f>'Previsión de negocio'!N205</f>
        <v>0</v>
      </c>
      <c r="O107" s="998">
        <f>'Previsión de negocio'!O205</f>
        <v>0</v>
      </c>
      <c r="P107" s="995">
        <f t="shared" si="12"/>
        <v>0</v>
      </c>
    </row>
    <row r="108" spans="2:18" ht="19.5" customHeight="1" thickBot="1" x14ac:dyDescent="0.25">
      <c r="B108" s="257"/>
      <c r="C108" s="261" t="str">
        <f t="shared" si="13"/>
        <v>Euros</v>
      </c>
      <c r="D108" s="258">
        <f>'Previsión de negocio'!D207</f>
        <v>0</v>
      </c>
      <c r="E108" s="258">
        <f>'Previsión de negocio'!E207</f>
        <v>0</v>
      </c>
      <c r="F108" s="258">
        <f>'Previsión de negocio'!F207</f>
        <v>0</v>
      </c>
      <c r="G108" s="258">
        <f>'Previsión de negocio'!G207</f>
        <v>0</v>
      </c>
      <c r="H108" s="258">
        <f>'Previsión de negocio'!H207</f>
        <v>0</v>
      </c>
      <c r="I108" s="258">
        <f>'Previsión de negocio'!I207</f>
        <v>0</v>
      </c>
      <c r="J108" s="258">
        <f>'Previsión de negocio'!J207</f>
        <v>0</v>
      </c>
      <c r="K108" s="258">
        <f>'Previsión de negocio'!K207</f>
        <v>0</v>
      </c>
      <c r="L108" s="258">
        <f>'Previsión de negocio'!L207</f>
        <v>0</v>
      </c>
      <c r="M108" s="258">
        <f>'Previsión de negocio'!M207</f>
        <v>0</v>
      </c>
      <c r="N108" s="258">
        <f>'Previsión de negocio'!N207</f>
        <v>0</v>
      </c>
      <c r="O108" s="999">
        <f>'Previsión de negocio'!O207</f>
        <v>0</v>
      </c>
      <c r="P108" s="949">
        <f t="shared" si="12"/>
        <v>0</v>
      </c>
    </row>
    <row r="109" spans="2:18" ht="19.5" customHeight="1" x14ac:dyDescent="0.2">
      <c r="B109" s="250">
        <f>B83</f>
        <v>0</v>
      </c>
      <c r="C109" s="83" t="str">
        <f t="shared" si="13"/>
        <v>Unidades</v>
      </c>
      <c r="D109" s="946">
        <f>'Previsión de negocio'!D211</f>
        <v>0</v>
      </c>
      <c r="E109" s="946">
        <f>'Previsión de negocio'!E211</f>
        <v>0</v>
      </c>
      <c r="F109" s="946">
        <f>'Previsión de negocio'!F211</f>
        <v>0</v>
      </c>
      <c r="G109" s="946">
        <f>'Previsión de negocio'!G211</f>
        <v>0</v>
      </c>
      <c r="H109" s="946">
        <f>'Previsión de negocio'!H211</f>
        <v>0</v>
      </c>
      <c r="I109" s="946">
        <f>'Previsión de negocio'!I211</f>
        <v>0</v>
      </c>
      <c r="J109" s="946">
        <f>'Previsión de negocio'!J211</f>
        <v>0</v>
      </c>
      <c r="K109" s="946">
        <f>'Previsión de negocio'!K211</f>
        <v>0</v>
      </c>
      <c r="L109" s="946">
        <f>'Previsión de negocio'!L211</f>
        <v>0</v>
      </c>
      <c r="M109" s="946">
        <f>'Previsión de negocio'!M211</f>
        <v>0</v>
      </c>
      <c r="N109" s="946">
        <f>'Previsión de negocio'!N211</f>
        <v>0</v>
      </c>
      <c r="O109" s="998">
        <f>'Previsión de negocio'!O211</f>
        <v>0</v>
      </c>
      <c r="P109" s="995">
        <f t="shared" si="12"/>
        <v>0</v>
      </c>
    </row>
    <row r="110" spans="2:18" ht="19.5" customHeight="1" thickBot="1" x14ac:dyDescent="0.25">
      <c r="B110" s="257"/>
      <c r="C110" s="261" t="str">
        <f t="shared" si="13"/>
        <v>Euros</v>
      </c>
      <c r="D110" s="258">
        <f>'Previsión de negocio'!D213</f>
        <v>0</v>
      </c>
      <c r="E110" s="258">
        <f>'Previsión de negocio'!E213</f>
        <v>0</v>
      </c>
      <c r="F110" s="258">
        <f>'Previsión de negocio'!F213</f>
        <v>0</v>
      </c>
      <c r="G110" s="258">
        <f>'Previsión de negocio'!G213</f>
        <v>0</v>
      </c>
      <c r="H110" s="258">
        <f>'Previsión de negocio'!H213</f>
        <v>0</v>
      </c>
      <c r="I110" s="258">
        <f>'Previsión de negocio'!I213</f>
        <v>0</v>
      </c>
      <c r="J110" s="258">
        <f>'Previsión de negocio'!J213</f>
        <v>0</v>
      </c>
      <c r="K110" s="258">
        <f>'Previsión de negocio'!K213</f>
        <v>0</v>
      </c>
      <c r="L110" s="258">
        <f>'Previsión de negocio'!L213</f>
        <v>0</v>
      </c>
      <c r="M110" s="258">
        <f>'Previsión de negocio'!M213</f>
        <v>0</v>
      </c>
      <c r="N110" s="258">
        <f>'Previsión de negocio'!N213</f>
        <v>0</v>
      </c>
      <c r="O110" s="999">
        <f>'Previsión de negocio'!O213</f>
        <v>0</v>
      </c>
      <c r="P110" s="949">
        <f t="shared" si="12"/>
        <v>0</v>
      </c>
    </row>
    <row r="111" spans="2:18" ht="19.5" customHeight="1" thickBot="1" x14ac:dyDescent="0.3">
      <c r="B111" s="251" t="str">
        <f>B85</f>
        <v>Total unidades:</v>
      </c>
      <c r="C111" s="245"/>
      <c r="D111" s="246">
        <f>+D91+D93+D95+D97+D99+D101+D103+D105+D107+D109</f>
        <v>0</v>
      </c>
      <c r="E111" s="246">
        <f t="shared" ref="E111:O111" si="14">+E91+E93+E95+E97+E99+E101+E103+E105+E107+E109</f>
        <v>0</v>
      </c>
      <c r="F111" s="246">
        <f t="shared" si="14"/>
        <v>0</v>
      </c>
      <c r="G111" s="246">
        <f t="shared" si="14"/>
        <v>0</v>
      </c>
      <c r="H111" s="246">
        <f t="shared" si="14"/>
        <v>0</v>
      </c>
      <c r="I111" s="246">
        <f t="shared" si="14"/>
        <v>0</v>
      </c>
      <c r="J111" s="246">
        <f t="shared" si="14"/>
        <v>0</v>
      </c>
      <c r="K111" s="246">
        <f t="shared" si="14"/>
        <v>0</v>
      </c>
      <c r="L111" s="246">
        <f t="shared" si="14"/>
        <v>0</v>
      </c>
      <c r="M111" s="246">
        <f t="shared" si="14"/>
        <v>0</v>
      </c>
      <c r="N111" s="246">
        <f t="shared" si="14"/>
        <v>0</v>
      </c>
      <c r="O111" s="1000">
        <f t="shared" si="14"/>
        <v>0</v>
      </c>
      <c r="P111" s="950">
        <f t="shared" si="12"/>
        <v>0</v>
      </c>
    </row>
    <row r="112" spans="2:18" ht="19.5" customHeight="1" thickBot="1" x14ac:dyDescent="0.3">
      <c r="B112" s="253" t="str">
        <f>B86</f>
        <v>Total Euros:</v>
      </c>
      <c r="C112" s="254"/>
      <c r="D112" s="255">
        <f>+D92+D94+D96+D98+D100+D102+D104+D106+D108+D110</f>
        <v>0</v>
      </c>
      <c r="E112" s="255">
        <f t="shared" ref="E112:O112" si="15">+E92+E94+E96+E98+E100+E102+E104+E106+E108+E110</f>
        <v>0</v>
      </c>
      <c r="F112" s="255">
        <f t="shared" si="15"/>
        <v>0</v>
      </c>
      <c r="G112" s="255">
        <f t="shared" si="15"/>
        <v>0</v>
      </c>
      <c r="H112" s="255">
        <f t="shared" si="15"/>
        <v>0</v>
      </c>
      <c r="I112" s="255">
        <f t="shared" si="15"/>
        <v>0</v>
      </c>
      <c r="J112" s="255">
        <f t="shared" si="15"/>
        <v>0</v>
      </c>
      <c r="K112" s="255">
        <f t="shared" si="15"/>
        <v>0</v>
      </c>
      <c r="L112" s="255">
        <f t="shared" si="15"/>
        <v>0</v>
      </c>
      <c r="M112" s="255">
        <f t="shared" si="15"/>
        <v>0</v>
      </c>
      <c r="N112" s="255">
        <f t="shared" si="15"/>
        <v>0</v>
      </c>
      <c r="O112" s="1001">
        <f t="shared" si="15"/>
        <v>0</v>
      </c>
      <c r="P112" s="996">
        <f t="shared" si="12"/>
        <v>0</v>
      </c>
      <c r="R112" s="157"/>
    </row>
    <row r="113" spans="2:17" ht="19.5" customHeight="1" thickTop="1" x14ac:dyDescent="0.2">
      <c r="B113" s="616"/>
      <c r="C113" s="616"/>
      <c r="D113" s="616"/>
      <c r="E113" s="616"/>
      <c r="F113" s="616"/>
      <c r="G113" s="616"/>
      <c r="H113" s="616"/>
      <c r="I113" s="616"/>
      <c r="J113" s="616"/>
      <c r="K113" s="616"/>
      <c r="L113" s="616"/>
      <c r="M113" s="616"/>
      <c r="N113" s="616"/>
      <c r="O113" s="616"/>
      <c r="P113" s="616"/>
      <c r="Q113" s="616"/>
    </row>
  </sheetData>
  <sheetProtection password="CC4B" sheet="1"/>
  <mergeCells count="7">
    <mergeCell ref="G11:H11"/>
    <mergeCell ref="C11:D11"/>
    <mergeCell ref="E11:F11"/>
    <mergeCell ref="B4:G4"/>
    <mergeCell ref="G10:H10"/>
    <mergeCell ref="E10:F10"/>
    <mergeCell ref="C10:D10"/>
  </mergeCells>
  <phoneticPr fontId="0" type="noConversion"/>
  <pageMargins left="0.75" right="0.75" top="1" bottom="1" header="0" footer="0"/>
  <pageSetup paperSize="9" scale="6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9">
    <tabColor theme="6" tint="0.39997558519241921"/>
    <pageSetUpPr fitToPage="1"/>
  </sheetPr>
  <dimension ref="A1:AB262"/>
  <sheetViews>
    <sheetView showGridLines="0" topLeftCell="A189" workbookViewId="0">
      <selection activeCell="I263" sqref="I263"/>
    </sheetView>
  </sheetViews>
  <sheetFormatPr baseColWidth="10" defaultColWidth="11.42578125" defaultRowHeight="12.75" x14ac:dyDescent="0.2"/>
  <cols>
    <col min="1" max="1" width="11.42578125" style="41"/>
    <col min="2" max="2" width="35.5703125" style="41" customWidth="1"/>
    <col min="3" max="3" width="11.85546875" style="41" customWidth="1"/>
    <col min="4" max="5" width="13.28515625" style="41" customWidth="1"/>
    <col min="6" max="6" width="13.85546875" style="41" customWidth="1"/>
    <col min="7" max="7" width="13.7109375" style="41" customWidth="1"/>
    <col min="8" max="9" width="13.5703125" style="41" customWidth="1"/>
    <col min="10" max="10" width="13.7109375" style="41" customWidth="1"/>
    <col min="11" max="11" width="11.42578125" style="41"/>
    <col min="12" max="12" width="10.42578125" style="41" customWidth="1"/>
    <col min="13" max="13" width="10.7109375" style="41" customWidth="1"/>
    <col min="14" max="14" width="10.85546875" style="41" customWidth="1"/>
    <col min="15" max="15" width="10.7109375" style="41" customWidth="1"/>
    <col min="16" max="16" width="12.140625" style="41" customWidth="1"/>
    <col min="17" max="17" width="11.5703125" style="41" customWidth="1"/>
    <col min="18" max="18" width="11.42578125" style="41"/>
    <col min="19" max="19" width="12.28515625" style="41" bestFit="1" customWidth="1"/>
    <col min="20" max="20" width="12.28515625" style="41" customWidth="1"/>
    <col min="21" max="21" width="10.85546875" style="41" customWidth="1"/>
    <col min="22" max="16384" width="11.42578125" style="41"/>
  </cols>
  <sheetData>
    <row r="1" spans="1:28" s="547" customFormat="1" ht="13.5" hidden="1" thickBot="1" x14ac:dyDescent="0.25">
      <c r="A1" s="546"/>
      <c r="B1" s="546"/>
      <c r="C1" s="546">
        <f>MONTH('Datos generales'!N10)</f>
        <v>1</v>
      </c>
      <c r="D1" s="291">
        <v>0</v>
      </c>
      <c r="E1" s="291">
        <v>1</v>
      </c>
      <c r="F1" s="291">
        <v>2</v>
      </c>
      <c r="G1" s="291">
        <v>3</v>
      </c>
      <c r="H1" s="291">
        <v>4</v>
      </c>
      <c r="I1" s="291">
        <v>5</v>
      </c>
      <c r="J1" s="291">
        <v>6</v>
      </c>
      <c r="K1" s="291">
        <v>7</v>
      </c>
      <c r="L1" s="291">
        <v>8</v>
      </c>
      <c r="M1" s="291">
        <v>9</v>
      </c>
      <c r="N1" s="291">
        <v>10</v>
      </c>
      <c r="O1" s="291">
        <v>11</v>
      </c>
      <c r="P1" s="291">
        <v>12</v>
      </c>
      <c r="Q1" s="546"/>
      <c r="R1" s="546"/>
    </row>
    <row r="2" spans="1:28" x14ac:dyDescent="0.2">
      <c r="A2"/>
      <c r="B2"/>
      <c r="C2"/>
      <c r="D2"/>
      <c r="E2"/>
      <c r="F2"/>
      <c r="G2"/>
      <c r="H2"/>
      <c r="I2"/>
      <c r="J2"/>
      <c r="K2"/>
      <c r="L2"/>
      <c r="M2"/>
      <c r="N2"/>
      <c r="O2"/>
      <c r="P2"/>
      <c r="Q2"/>
      <c r="R2"/>
    </row>
    <row r="3" spans="1:28" x14ac:dyDescent="0.2">
      <c r="A3"/>
      <c r="B3"/>
      <c r="C3"/>
      <c r="D3"/>
      <c r="E3"/>
      <c r="F3"/>
      <c r="G3"/>
      <c r="H3"/>
      <c r="I3"/>
      <c r="J3"/>
      <c r="K3"/>
      <c r="L3"/>
      <c r="M3"/>
      <c r="N3"/>
      <c r="O3"/>
      <c r="P3"/>
      <c r="Q3"/>
      <c r="R3"/>
    </row>
    <row r="4" spans="1:28" ht="40.5" customHeight="1" x14ac:dyDescent="0.2">
      <c r="A4"/>
      <c r="B4" s="1367" t="s">
        <v>701</v>
      </c>
      <c r="C4" s="1458"/>
      <c r="D4" s="1458"/>
      <c r="E4" s="1458"/>
      <c r="F4" s="1458"/>
      <c r="G4" s="1458"/>
      <c r="H4" s="1459"/>
      <c r="I4"/>
      <c r="J4"/>
      <c r="K4"/>
      <c r="L4"/>
      <c r="M4"/>
      <c r="N4"/>
      <c r="O4"/>
      <c r="P4"/>
      <c r="Q4"/>
      <c r="R4"/>
    </row>
    <row r="5" spans="1:28" x14ac:dyDescent="0.2">
      <c r="A5"/>
      <c r="B5"/>
      <c r="C5"/>
      <c r="D5"/>
      <c r="E5"/>
      <c r="F5"/>
      <c r="G5"/>
      <c r="H5"/>
      <c r="I5"/>
      <c r="J5"/>
      <c r="K5"/>
      <c r="L5"/>
      <c r="M5"/>
      <c r="N5"/>
      <c r="O5"/>
      <c r="P5"/>
      <c r="Q5"/>
      <c r="R5"/>
    </row>
    <row r="6" spans="1:28" ht="20.25" x14ac:dyDescent="0.3">
      <c r="A6"/>
      <c r="B6" s="1360" t="str">
        <f>'Datos generales'!C6</f>
        <v>Nombre de la empresa</v>
      </c>
      <c r="C6" s="1360"/>
      <c r="D6" s="1360"/>
      <c r="E6" s="1360"/>
      <c r="F6" s="1360"/>
      <c r="G6" s="1360"/>
      <c r="H6"/>
      <c r="I6"/>
      <c r="J6"/>
      <c r="K6"/>
      <c r="L6"/>
      <c r="M6"/>
      <c r="N6"/>
      <c r="O6"/>
      <c r="P6"/>
      <c r="Q6"/>
      <c r="R6"/>
    </row>
    <row r="8" spans="1:28" ht="15.75" x14ac:dyDescent="0.25">
      <c r="A8" s="7"/>
      <c r="B8" s="138" t="s">
        <v>702</v>
      </c>
      <c r="C8" s="8"/>
      <c r="D8" s="7"/>
      <c r="E8" s="7"/>
      <c r="F8" s="8"/>
      <c r="H8" s="7"/>
      <c r="AB8" s="34"/>
    </row>
    <row r="10" spans="1:28" ht="15.75" x14ac:dyDescent="0.25">
      <c r="B10" s="138" t="s">
        <v>703</v>
      </c>
    </row>
    <row r="11" spans="1:28" ht="16.5" thickBot="1" x14ac:dyDescent="0.3">
      <c r="C11" s="1468" t="s">
        <v>95</v>
      </c>
      <c r="D11" s="1468"/>
      <c r="E11" s="1468"/>
      <c r="G11" s="138" t="s">
        <v>96</v>
      </c>
      <c r="I11" s="138" t="s">
        <v>97</v>
      </c>
      <c r="Q11" s="82"/>
      <c r="R11" s="82"/>
      <c r="S11" s="82"/>
      <c r="T11" s="1467"/>
      <c r="U11" s="1467"/>
      <c r="V11" s="1467"/>
    </row>
    <row r="12" spans="1:28" ht="64.5" customHeight="1" x14ac:dyDescent="0.2">
      <c r="B12" s="1126" t="s">
        <v>704</v>
      </c>
      <c r="C12" s="957" t="s">
        <v>705</v>
      </c>
      <c r="D12" s="958" t="s">
        <v>706</v>
      </c>
      <c r="E12" s="959" t="s">
        <v>707</v>
      </c>
      <c r="F12" s="957" t="s">
        <v>705</v>
      </c>
      <c r="G12" s="958" t="s">
        <v>706</v>
      </c>
      <c r="H12" s="959" t="s">
        <v>707</v>
      </c>
      <c r="I12" s="957" t="s">
        <v>705</v>
      </c>
      <c r="J12" s="958" t="s">
        <v>706</v>
      </c>
      <c r="K12" s="959" t="s">
        <v>707</v>
      </c>
      <c r="Q12" s="1"/>
      <c r="R12" s="61"/>
      <c r="S12" s="1"/>
      <c r="T12" s="1"/>
      <c r="U12" s="61"/>
      <c r="V12" s="1"/>
    </row>
    <row r="13" spans="1:28" x14ac:dyDescent="0.2">
      <c r="B13" s="1091" t="str">
        <f>'Previsión de negocio'!B30</f>
        <v>Producto o servicio 1</v>
      </c>
      <c r="C13" s="960">
        <f>P92</f>
        <v>0</v>
      </c>
      <c r="D13" s="428">
        <f>P106</f>
        <v>0</v>
      </c>
      <c r="E13" s="961">
        <f>C13+D13</f>
        <v>0</v>
      </c>
      <c r="F13" s="960">
        <f t="shared" ref="F13:F25" si="0">P150</f>
        <v>0</v>
      </c>
      <c r="G13" s="428">
        <f t="shared" ref="G13:G25" si="1">P164</f>
        <v>0</v>
      </c>
      <c r="H13" s="1061">
        <f t="shared" ref="H13:H22" si="2">G13+F13</f>
        <v>0</v>
      </c>
      <c r="I13" s="960">
        <f t="shared" ref="I13:I25" si="3">P208</f>
        <v>0</v>
      </c>
      <c r="J13" s="428">
        <f t="shared" ref="J13:J25" si="4">P222</f>
        <v>0</v>
      </c>
      <c r="K13" s="1061">
        <f t="shared" ref="K13:K22" si="5">J13+I13</f>
        <v>0</v>
      </c>
      <c r="S13" s="460"/>
      <c r="V13" s="460"/>
    </row>
    <row r="14" spans="1:28" x14ac:dyDescent="0.2">
      <c r="B14" s="1127" t="str">
        <f>'Previsión de negocio'!B36</f>
        <v>Producto o servicio 2</v>
      </c>
      <c r="C14" s="960">
        <f t="shared" ref="C14:C25" si="6">P93</f>
        <v>0</v>
      </c>
      <c r="D14" s="428">
        <f t="shared" ref="D14:D25" si="7">P107</f>
        <v>0</v>
      </c>
      <c r="E14" s="961">
        <f t="shared" ref="E14:E24" si="8">C14+D14</f>
        <v>0</v>
      </c>
      <c r="F14" s="960">
        <f t="shared" si="0"/>
        <v>0</v>
      </c>
      <c r="G14" s="428">
        <f t="shared" si="1"/>
        <v>0</v>
      </c>
      <c r="H14" s="961">
        <f t="shared" si="2"/>
        <v>0</v>
      </c>
      <c r="I14" s="960">
        <f t="shared" si="3"/>
        <v>0</v>
      </c>
      <c r="J14" s="428">
        <f t="shared" si="4"/>
        <v>0</v>
      </c>
      <c r="K14" s="961">
        <f t="shared" si="5"/>
        <v>0</v>
      </c>
      <c r="S14" s="460"/>
      <c r="V14" s="460"/>
    </row>
    <row r="15" spans="1:28" x14ac:dyDescent="0.2">
      <c r="B15" s="1127" t="str">
        <f>'Previsión de negocio'!B42</f>
        <v>Producto o servicio 3</v>
      </c>
      <c r="C15" s="960">
        <f t="shared" si="6"/>
        <v>0</v>
      </c>
      <c r="D15" s="428">
        <f t="shared" si="7"/>
        <v>0</v>
      </c>
      <c r="E15" s="961">
        <f t="shared" si="8"/>
        <v>0</v>
      </c>
      <c r="F15" s="960">
        <f t="shared" si="0"/>
        <v>0</v>
      </c>
      <c r="G15" s="428">
        <f t="shared" si="1"/>
        <v>0</v>
      </c>
      <c r="H15" s="961">
        <f t="shared" si="2"/>
        <v>0</v>
      </c>
      <c r="I15" s="960">
        <f t="shared" si="3"/>
        <v>0</v>
      </c>
      <c r="J15" s="428">
        <f t="shared" si="4"/>
        <v>0</v>
      </c>
      <c r="K15" s="961">
        <f t="shared" si="5"/>
        <v>0</v>
      </c>
      <c r="S15" s="460"/>
      <c r="V15" s="460"/>
    </row>
    <row r="16" spans="1:28" x14ac:dyDescent="0.2">
      <c r="B16" s="1127">
        <f>'Previsión de negocio'!B48</f>
        <v>0</v>
      </c>
      <c r="C16" s="960">
        <f t="shared" si="6"/>
        <v>0</v>
      </c>
      <c r="D16" s="428">
        <f t="shared" si="7"/>
        <v>0</v>
      </c>
      <c r="E16" s="961">
        <f t="shared" si="8"/>
        <v>0</v>
      </c>
      <c r="F16" s="960">
        <f t="shared" si="0"/>
        <v>0</v>
      </c>
      <c r="G16" s="428">
        <f t="shared" si="1"/>
        <v>0</v>
      </c>
      <c r="H16" s="961">
        <f t="shared" si="2"/>
        <v>0</v>
      </c>
      <c r="I16" s="960">
        <f t="shared" si="3"/>
        <v>0</v>
      </c>
      <c r="J16" s="428">
        <f t="shared" si="4"/>
        <v>0</v>
      </c>
      <c r="K16" s="961">
        <f t="shared" si="5"/>
        <v>0</v>
      </c>
      <c r="S16" s="460"/>
      <c r="V16" s="460"/>
    </row>
    <row r="17" spans="2:22" x14ac:dyDescent="0.2">
      <c r="B17" s="1127">
        <f>'Previsión de negocio'!B54</f>
        <v>0</v>
      </c>
      <c r="C17" s="960">
        <f t="shared" si="6"/>
        <v>0</v>
      </c>
      <c r="D17" s="428">
        <f t="shared" si="7"/>
        <v>0</v>
      </c>
      <c r="E17" s="961">
        <f t="shared" si="8"/>
        <v>0</v>
      </c>
      <c r="F17" s="960">
        <f t="shared" si="0"/>
        <v>0</v>
      </c>
      <c r="G17" s="428">
        <f t="shared" si="1"/>
        <v>0</v>
      </c>
      <c r="H17" s="961">
        <f t="shared" si="2"/>
        <v>0</v>
      </c>
      <c r="I17" s="960">
        <f t="shared" si="3"/>
        <v>0</v>
      </c>
      <c r="J17" s="428">
        <f t="shared" si="4"/>
        <v>0</v>
      </c>
      <c r="K17" s="961">
        <f t="shared" si="5"/>
        <v>0</v>
      </c>
      <c r="S17" s="460"/>
      <c r="V17" s="460"/>
    </row>
    <row r="18" spans="2:22" x14ac:dyDescent="0.2">
      <c r="B18" s="1127">
        <f>'Previsión de negocio'!B60</f>
        <v>0</v>
      </c>
      <c r="C18" s="960">
        <f t="shared" si="6"/>
        <v>0</v>
      </c>
      <c r="D18" s="428">
        <f t="shared" si="7"/>
        <v>0</v>
      </c>
      <c r="E18" s="961">
        <f t="shared" si="8"/>
        <v>0</v>
      </c>
      <c r="F18" s="960">
        <f t="shared" si="0"/>
        <v>0</v>
      </c>
      <c r="G18" s="428">
        <f t="shared" si="1"/>
        <v>0</v>
      </c>
      <c r="H18" s="961">
        <f t="shared" si="2"/>
        <v>0</v>
      </c>
      <c r="I18" s="960">
        <f t="shared" si="3"/>
        <v>0</v>
      </c>
      <c r="J18" s="428">
        <f t="shared" si="4"/>
        <v>0</v>
      </c>
      <c r="K18" s="961">
        <f t="shared" si="5"/>
        <v>0</v>
      </c>
      <c r="S18" s="460"/>
      <c r="V18" s="460"/>
    </row>
    <row r="19" spans="2:22" x14ac:dyDescent="0.2">
      <c r="B19" s="1127">
        <f>'Previsión de negocio'!B66</f>
        <v>0</v>
      </c>
      <c r="C19" s="960">
        <f t="shared" si="6"/>
        <v>0</v>
      </c>
      <c r="D19" s="428">
        <f t="shared" si="7"/>
        <v>0</v>
      </c>
      <c r="E19" s="961">
        <f t="shared" si="8"/>
        <v>0</v>
      </c>
      <c r="F19" s="960">
        <f t="shared" si="0"/>
        <v>0</v>
      </c>
      <c r="G19" s="428">
        <f t="shared" si="1"/>
        <v>0</v>
      </c>
      <c r="H19" s="961">
        <f t="shared" si="2"/>
        <v>0</v>
      </c>
      <c r="I19" s="960">
        <f t="shared" si="3"/>
        <v>0</v>
      </c>
      <c r="J19" s="428">
        <f t="shared" si="4"/>
        <v>0</v>
      </c>
      <c r="K19" s="961">
        <f t="shared" si="5"/>
        <v>0</v>
      </c>
      <c r="S19" s="460"/>
      <c r="V19" s="460"/>
    </row>
    <row r="20" spans="2:22" x14ac:dyDescent="0.2">
      <c r="B20" s="1127">
        <f>'Previsión de negocio'!B72</f>
        <v>0</v>
      </c>
      <c r="C20" s="960">
        <f t="shared" si="6"/>
        <v>0</v>
      </c>
      <c r="D20" s="428">
        <f t="shared" si="7"/>
        <v>0</v>
      </c>
      <c r="E20" s="961">
        <f t="shared" si="8"/>
        <v>0</v>
      </c>
      <c r="F20" s="960">
        <f t="shared" si="0"/>
        <v>0</v>
      </c>
      <c r="G20" s="428">
        <f t="shared" si="1"/>
        <v>0</v>
      </c>
      <c r="H20" s="961">
        <f t="shared" si="2"/>
        <v>0</v>
      </c>
      <c r="I20" s="960">
        <f t="shared" si="3"/>
        <v>0</v>
      </c>
      <c r="J20" s="428">
        <f t="shared" si="4"/>
        <v>0</v>
      </c>
      <c r="K20" s="961">
        <f t="shared" si="5"/>
        <v>0</v>
      </c>
      <c r="S20" s="460"/>
      <c r="V20" s="460"/>
    </row>
    <row r="21" spans="2:22" x14ac:dyDescent="0.2">
      <c r="B21" s="1127">
        <f>'Previsión de negocio'!B78</f>
        <v>0</v>
      </c>
      <c r="C21" s="960">
        <f t="shared" si="6"/>
        <v>0</v>
      </c>
      <c r="D21" s="428">
        <f t="shared" si="7"/>
        <v>0</v>
      </c>
      <c r="E21" s="961">
        <f t="shared" si="8"/>
        <v>0</v>
      </c>
      <c r="F21" s="960">
        <f t="shared" si="0"/>
        <v>0</v>
      </c>
      <c r="G21" s="428">
        <f t="shared" si="1"/>
        <v>0</v>
      </c>
      <c r="H21" s="961">
        <f t="shared" si="2"/>
        <v>0</v>
      </c>
      <c r="I21" s="960">
        <f t="shared" si="3"/>
        <v>0</v>
      </c>
      <c r="J21" s="428">
        <f t="shared" si="4"/>
        <v>0</v>
      </c>
      <c r="K21" s="961">
        <f t="shared" si="5"/>
        <v>0</v>
      </c>
      <c r="S21" s="460"/>
      <c r="V21" s="460"/>
    </row>
    <row r="22" spans="2:22" x14ac:dyDescent="0.2">
      <c r="B22" s="1127">
        <f>'Previsión de negocio'!B84</f>
        <v>0</v>
      </c>
      <c r="C22" s="960">
        <f t="shared" si="6"/>
        <v>0</v>
      </c>
      <c r="D22" s="428">
        <f t="shared" si="7"/>
        <v>0</v>
      </c>
      <c r="E22" s="961">
        <f t="shared" si="8"/>
        <v>0</v>
      </c>
      <c r="F22" s="960">
        <f t="shared" si="0"/>
        <v>0</v>
      </c>
      <c r="G22" s="428">
        <f t="shared" si="1"/>
        <v>0</v>
      </c>
      <c r="H22" s="961">
        <f t="shared" si="2"/>
        <v>0</v>
      </c>
      <c r="I22" s="960">
        <f t="shared" si="3"/>
        <v>0</v>
      </c>
      <c r="J22" s="428">
        <f t="shared" si="4"/>
        <v>0</v>
      </c>
      <c r="K22" s="961">
        <f t="shared" si="5"/>
        <v>0</v>
      </c>
      <c r="S22" s="460"/>
      <c r="V22" s="460"/>
    </row>
    <row r="23" spans="2:22" s="1" customFormat="1" x14ac:dyDescent="0.2">
      <c r="B23" s="1128" t="s">
        <v>129</v>
      </c>
      <c r="C23" s="962">
        <f t="shared" si="6"/>
        <v>0</v>
      </c>
      <c r="D23" s="429">
        <f t="shared" si="7"/>
        <v>0</v>
      </c>
      <c r="E23" s="961">
        <f>SUM(E13:E22)</f>
        <v>0</v>
      </c>
      <c r="F23" s="962">
        <f t="shared" si="0"/>
        <v>0</v>
      </c>
      <c r="G23" s="429">
        <f t="shared" si="1"/>
        <v>0</v>
      </c>
      <c r="H23" s="965">
        <f>SUM(H13:H22)</f>
        <v>0</v>
      </c>
      <c r="I23" s="962">
        <f t="shared" si="3"/>
        <v>0</v>
      </c>
      <c r="J23" s="429">
        <f t="shared" si="4"/>
        <v>0</v>
      </c>
      <c r="K23" s="965">
        <f>SUM(K13:K22)</f>
        <v>0</v>
      </c>
      <c r="Q23" s="41"/>
      <c r="S23" s="459"/>
      <c r="V23" s="459"/>
    </row>
    <row r="24" spans="2:22" s="1" customFormat="1" x14ac:dyDescent="0.2">
      <c r="B24" s="1129" t="s">
        <v>708</v>
      </c>
      <c r="C24" s="960">
        <f t="shared" si="6"/>
        <v>0</v>
      </c>
      <c r="D24" s="428">
        <f t="shared" si="7"/>
        <v>0</v>
      </c>
      <c r="E24" s="961">
        <f t="shared" si="8"/>
        <v>0</v>
      </c>
      <c r="F24" s="960">
        <f t="shared" si="0"/>
        <v>0</v>
      </c>
      <c r="G24" s="428">
        <f t="shared" si="1"/>
        <v>0</v>
      </c>
      <c r="H24" s="961">
        <f>G24+F24</f>
        <v>0</v>
      </c>
      <c r="I24" s="960">
        <f t="shared" si="3"/>
        <v>0</v>
      </c>
      <c r="J24" s="428">
        <f t="shared" si="4"/>
        <v>0</v>
      </c>
      <c r="K24" s="961">
        <f>J24+I24</f>
        <v>0</v>
      </c>
      <c r="Q24" s="41"/>
      <c r="S24" s="459"/>
      <c r="V24" s="459"/>
    </row>
    <row r="25" spans="2:22" s="1" customFormat="1" ht="13.5" thickBot="1" x14ac:dyDescent="0.25">
      <c r="B25" s="1130" t="s">
        <v>709</v>
      </c>
      <c r="C25" s="963">
        <f t="shared" si="6"/>
        <v>0</v>
      </c>
      <c r="D25" s="502">
        <f t="shared" si="7"/>
        <v>0</v>
      </c>
      <c r="E25" s="964">
        <f>SUM(E23:E24)</f>
        <v>0</v>
      </c>
      <c r="F25" s="963">
        <f t="shared" si="0"/>
        <v>0</v>
      </c>
      <c r="G25" s="502">
        <f t="shared" si="1"/>
        <v>0</v>
      </c>
      <c r="H25" s="964">
        <f>SUM(H23:H24)</f>
        <v>0</v>
      </c>
      <c r="I25" s="963">
        <f t="shared" si="3"/>
        <v>0</v>
      </c>
      <c r="J25" s="502">
        <f t="shared" si="4"/>
        <v>0</v>
      </c>
      <c r="K25" s="964">
        <f>SUM(K23:K24)</f>
        <v>0</v>
      </c>
      <c r="Q25" s="41"/>
      <c r="S25" s="459"/>
      <c r="V25" s="459"/>
    </row>
    <row r="26" spans="2:22" s="1" customFormat="1" ht="9" customHeight="1" x14ac:dyDescent="0.2">
      <c r="C26" s="61"/>
      <c r="E26" s="61"/>
      <c r="G26" s="832"/>
      <c r="H26" s="833"/>
      <c r="J26" s="61"/>
      <c r="K26" s="833"/>
      <c r="Q26" s="41"/>
      <c r="S26" s="459"/>
      <c r="V26" s="459"/>
    </row>
    <row r="27" spans="2:22" s="1" customFormat="1" ht="36.75" customHeight="1" x14ac:dyDescent="0.2">
      <c r="B27" s="839" t="s">
        <v>136</v>
      </c>
      <c r="C27" s="840"/>
      <c r="D27" s="840" t="s">
        <v>710</v>
      </c>
      <c r="E27" s="437" t="s">
        <v>711</v>
      </c>
      <c r="F27" s="840"/>
      <c r="G27" s="840" t="s">
        <v>710</v>
      </c>
      <c r="H27" s="437" t="s">
        <v>711</v>
      </c>
      <c r="I27" s="840"/>
      <c r="J27" s="840" t="s">
        <v>710</v>
      </c>
      <c r="K27" s="438" t="s">
        <v>711</v>
      </c>
      <c r="Q27" s="41"/>
      <c r="S27" s="459"/>
      <c r="V27" s="459"/>
    </row>
    <row r="28" spans="2:22" ht="20.25" customHeight="1" x14ac:dyDescent="0.2">
      <c r="B28" s="1116" t="str">
        <f>'Previsión de negocio'!C222</f>
        <v>Transporte</v>
      </c>
      <c r="C28" s="830"/>
      <c r="D28" s="830">
        <f>'Previsión de negocio'!D222</f>
        <v>0.05</v>
      </c>
      <c r="E28" s="299">
        <f t="shared" ref="E28:E36" si="9">P120</f>
        <v>0</v>
      </c>
      <c r="F28" s="830"/>
      <c r="G28" s="830">
        <f t="shared" ref="G28:G33" si="10">C178</f>
        <v>0.05</v>
      </c>
      <c r="H28" s="831">
        <f t="shared" ref="H28:H36" si="11">P178</f>
        <v>0</v>
      </c>
      <c r="I28" s="830"/>
      <c r="J28" s="1">
        <f t="shared" ref="J28:J33" si="12">C236</f>
        <v>0.05</v>
      </c>
      <c r="K28" s="834">
        <f t="shared" ref="K28:K36" si="13">P236</f>
        <v>0</v>
      </c>
      <c r="S28" s="460"/>
      <c r="V28" s="460"/>
    </row>
    <row r="29" spans="2:22" x14ac:dyDescent="0.2">
      <c r="B29" s="1117" t="str">
        <f>'Previsión de negocio'!C223</f>
        <v>Comisiones</v>
      </c>
      <c r="C29" s="830"/>
      <c r="D29" s="433">
        <f>'Previsión de negocio'!D223</f>
        <v>0</v>
      </c>
      <c r="E29" s="289">
        <f t="shared" si="9"/>
        <v>0</v>
      </c>
      <c r="F29" s="830"/>
      <c r="G29" s="433">
        <f t="shared" si="10"/>
        <v>0</v>
      </c>
      <c r="H29" s="428">
        <f t="shared" si="11"/>
        <v>0</v>
      </c>
      <c r="I29" s="830"/>
      <c r="J29" s="433">
        <f t="shared" si="12"/>
        <v>0</v>
      </c>
      <c r="K29" s="835">
        <f t="shared" si="13"/>
        <v>0</v>
      </c>
      <c r="S29" s="460"/>
      <c r="V29" s="460"/>
    </row>
    <row r="30" spans="2:22" x14ac:dyDescent="0.2">
      <c r="B30" s="1117" t="str">
        <f>'Previsión de negocio'!C224</f>
        <v>Embalajes</v>
      </c>
      <c r="C30" s="830"/>
      <c r="D30" s="433">
        <f>'Previsión de negocio'!D224</f>
        <v>0</v>
      </c>
      <c r="E30" s="289">
        <f t="shared" si="9"/>
        <v>0</v>
      </c>
      <c r="F30" s="830"/>
      <c r="G30" s="433">
        <f t="shared" si="10"/>
        <v>0</v>
      </c>
      <c r="H30" s="428">
        <f t="shared" si="11"/>
        <v>0</v>
      </c>
      <c r="I30" s="830"/>
      <c r="J30" s="433">
        <f t="shared" si="12"/>
        <v>0</v>
      </c>
      <c r="K30" s="835">
        <f t="shared" si="13"/>
        <v>0</v>
      </c>
      <c r="S30" s="460"/>
      <c r="V30" s="460"/>
    </row>
    <row r="31" spans="2:22" x14ac:dyDescent="0.2">
      <c r="B31" s="1117" t="str">
        <f>'Previsión de negocio'!C225</f>
        <v>Otros costes variables</v>
      </c>
      <c r="C31" s="830"/>
      <c r="D31" s="433">
        <f>'Previsión de negocio'!D225</f>
        <v>0</v>
      </c>
      <c r="E31" s="289">
        <f t="shared" si="9"/>
        <v>0</v>
      </c>
      <c r="F31" s="830"/>
      <c r="G31" s="433">
        <f t="shared" si="10"/>
        <v>0</v>
      </c>
      <c r="H31" s="428">
        <f t="shared" si="11"/>
        <v>0</v>
      </c>
      <c r="I31" s="830"/>
      <c r="J31" s="433">
        <f t="shared" si="12"/>
        <v>0</v>
      </c>
      <c r="K31" s="835">
        <f t="shared" si="13"/>
        <v>0</v>
      </c>
      <c r="S31" s="460"/>
      <c r="V31" s="460"/>
    </row>
    <row r="32" spans="2:22" x14ac:dyDescent="0.2">
      <c r="B32" s="1117">
        <f>'Previsión de negocio'!C226</f>
        <v>0</v>
      </c>
      <c r="C32" s="830"/>
      <c r="D32" s="433">
        <f>'Previsión de negocio'!D226</f>
        <v>0</v>
      </c>
      <c r="E32" s="289">
        <f t="shared" si="9"/>
        <v>0</v>
      </c>
      <c r="F32" s="830"/>
      <c r="G32" s="433">
        <f t="shared" si="10"/>
        <v>0</v>
      </c>
      <c r="H32" s="428">
        <f t="shared" si="11"/>
        <v>0</v>
      </c>
      <c r="I32" s="830"/>
      <c r="J32" s="433">
        <f t="shared" si="12"/>
        <v>0</v>
      </c>
      <c r="K32" s="835">
        <f t="shared" si="13"/>
        <v>0</v>
      </c>
      <c r="S32" s="460"/>
      <c r="V32" s="460"/>
    </row>
    <row r="33" spans="2:23" x14ac:dyDescent="0.2">
      <c r="B33" s="1117">
        <f>'Previsión de negocio'!C227</f>
        <v>0</v>
      </c>
      <c r="C33" s="830"/>
      <c r="D33" s="433">
        <f>'Previsión de negocio'!D227</f>
        <v>0</v>
      </c>
      <c r="E33" s="289">
        <f t="shared" si="9"/>
        <v>0</v>
      </c>
      <c r="F33" s="830"/>
      <c r="G33" s="433">
        <f t="shared" si="10"/>
        <v>0</v>
      </c>
      <c r="H33" s="428">
        <f t="shared" si="11"/>
        <v>0</v>
      </c>
      <c r="I33" s="830"/>
      <c r="J33" s="433">
        <f t="shared" si="12"/>
        <v>0</v>
      </c>
      <c r="K33" s="835">
        <f t="shared" si="13"/>
        <v>0</v>
      </c>
      <c r="S33" s="460"/>
      <c r="V33" s="460"/>
    </row>
    <row r="34" spans="2:23" x14ac:dyDescent="0.2">
      <c r="B34" s="1118" t="s">
        <v>129</v>
      </c>
      <c r="C34" s="830"/>
      <c r="D34" s="427"/>
      <c r="E34" s="295">
        <f t="shared" si="9"/>
        <v>0</v>
      </c>
      <c r="F34" s="830"/>
      <c r="G34" s="434"/>
      <c r="H34" s="429">
        <f t="shared" si="11"/>
        <v>0</v>
      </c>
      <c r="I34" s="830"/>
      <c r="J34" s="433"/>
      <c r="K34" s="836">
        <f t="shared" si="13"/>
        <v>0</v>
      </c>
    </row>
    <row r="35" spans="2:23" x14ac:dyDescent="0.2">
      <c r="B35" s="354" t="s">
        <v>708</v>
      </c>
      <c r="C35" s="830"/>
      <c r="D35" s="427"/>
      <c r="E35" s="289">
        <f t="shared" si="9"/>
        <v>0</v>
      </c>
      <c r="F35" s="830"/>
      <c r="G35" s="433"/>
      <c r="H35" s="428">
        <f t="shared" si="11"/>
        <v>0</v>
      </c>
      <c r="J35" s="433"/>
      <c r="K35" s="835">
        <f t="shared" si="13"/>
        <v>0</v>
      </c>
    </row>
    <row r="36" spans="2:23" x14ac:dyDescent="0.2">
      <c r="B36" s="837" t="s">
        <v>712</v>
      </c>
      <c r="C36" s="436"/>
      <c r="D36" s="1062">
        <f>SUM(D28:D35)</f>
        <v>0.05</v>
      </c>
      <c r="E36" s="201">
        <f t="shared" si="9"/>
        <v>0</v>
      </c>
      <c r="F36" s="436"/>
      <c r="G36" s="1062">
        <f>SUM(G28:G35)</f>
        <v>0.05</v>
      </c>
      <c r="H36" s="431">
        <f t="shared" si="11"/>
        <v>0</v>
      </c>
      <c r="I36" s="436"/>
      <c r="J36" s="436">
        <f>SUM(J28:J35)</f>
        <v>0.05</v>
      </c>
      <c r="K36" s="838">
        <f t="shared" si="13"/>
        <v>0</v>
      </c>
    </row>
    <row r="37" spans="2:23" ht="6" customHeight="1" thickBot="1" x14ac:dyDescent="0.25">
      <c r="B37" s="841"/>
      <c r="D37" s="842"/>
      <c r="E37" s="843"/>
      <c r="G37" s="844"/>
      <c r="H37" s="845"/>
      <c r="J37" s="844"/>
      <c r="K37" s="845"/>
    </row>
    <row r="38" spans="2:23" s="1" customFormat="1" ht="16.5" thickBot="1" x14ac:dyDescent="0.3">
      <c r="B38" s="439" t="s">
        <v>713</v>
      </c>
      <c r="C38" s="440"/>
      <c r="D38" s="440"/>
      <c r="E38" s="279">
        <f>P130</f>
        <v>0</v>
      </c>
      <c r="F38" s="440"/>
      <c r="G38" s="440"/>
      <c r="H38" s="441">
        <f>P188</f>
        <v>0</v>
      </c>
      <c r="I38" s="440"/>
      <c r="J38" s="440"/>
      <c r="K38" s="442">
        <f>P246</f>
        <v>0</v>
      </c>
    </row>
    <row r="41" spans="2:23" ht="15.75" x14ac:dyDescent="0.25">
      <c r="B41" s="138" t="s">
        <v>714</v>
      </c>
    </row>
    <row r="42" spans="2:23" ht="16.5" thickBot="1" x14ac:dyDescent="0.3">
      <c r="B42" s="138" t="s">
        <v>95</v>
      </c>
      <c r="L42" s="2"/>
      <c r="S42" s="2"/>
    </row>
    <row r="43" spans="2:23" ht="13.5" thickTop="1" x14ac:dyDescent="0.2">
      <c r="B43" s="443"/>
      <c r="C43" s="447"/>
      <c r="D43" s="447" t="s">
        <v>715</v>
      </c>
      <c r="E43" s="447"/>
      <c r="F43" s="447" t="s">
        <v>715</v>
      </c>
      <c r="G43" s="447"/>
      <c r="H43" s="448" t="s">
        <v>716</v>
      </c>
      <c r="Q43" s="1"/>
      <c r="R43" s="1"/>
      <c r="S43" s="1"/>
      <c r="T43" s="1"/>
      <c r="U43" s="1"/>
      <c r="V43" s="1"/>
      <c r="W43" s="1"/>
    </row>
    <row r="44" spans="2:23" x14ac:dyDescent="0.2">
      <c r="B44" s="272" t="s">
        <v>704</v>
      </c>
      <c r="C44" s="449" t="s">
        <v>700</v>
      </c>
      <c r="D44" s="449" t="s">
        <v>717</v>
      </c>
      <c r="E44" s="1063" t="s">
        <v>718</v>
      </c>
      <c r="F44" s="449" t="s">
        <v>719</v>
      </c>
      <c r="G44" s="449" t="s">
        <v>720</v>
      </c>
      <c r="H44" s="450" t="s">
        <v>721</v>
      </c>
      <c r="Q44" s="1"/>
      <c r="R44" s="1"/>
      <c r="S44" s="1"/>
      <c r="T44" s="1"/>
      <c r="U44" s="1"/>
      <c r="V44" s="1"/>
      <c r="W44" s="1"/>
    </row>
    <row r="45" spans="2:23" x14ac:dyDescent="0.2">
      <c r="B45" s="1115" t="str">
        <f>B13</f>
        <v>Producto o servicio 1</v>
      </c>
      <c r="C45" s="444">
        <f>'Presupuesto de ventas'!D13</f>
        <v>0</v>
      </c>
      <c r="D45" s="445">
        <f>IF(ISERROR(C45/C$55)=TRUE,0,C45/C$55)</f>
        <v>0</v>
      </c>
      <c r="E45" s="289">
        <f>+E13+$D$36*C45</f>
        <v>0</v>
      </c>
      <c r="F45" s="445">
        <f>IF(ISERROR(E45/E$55)=TRUE,0,E45/E$55)</f>
        <v>0</v>
      </c>
      <c r="G45" s="289">
        <f t="shared" ref="G45:G52" si="14">+C45-E45</f>
        <v>0</v>
      </c>
      <c r="H45" s="446">
        <f t="shared" ref="H45:H54" si="15">IF(ISERROR(G45/G$55)=TRUE,0,G45/G$55)</f>
        <v>0</v>
      </c>
    </row>
    <row r="46" spans="2:23" x14ac:dyDescent="0.2">
      <c r="B46" s="560" t="str">
        <f t="shared" ref="B46:B54" si="16">B14</f>
        <v>Producto o servicio 2</v>
      </c>
      <c r="C46" s="444">
        <f>'Presupuesto de ventas'!D15</f>
        <v>0</v>
      </c>
      <c r="D46" s="445">
        <f t="shared" ref="D46:D54" si="17">IF(ISERROR(C46/C$55)=TRUE,0,C46/C$55)</f>
        <v>0</v>
      </c>
      <c r="E46" s="289">
        <f t="shared" ref="E46:E54" si="18">+E14+$D$36*C46</f>
        <v>0</v>
      </c>
      <c r="F46" s="445">
        <f t="shared" ref="F46:F54" si="19">IF(ISERROR(E46/E$55)=TRUE,0,E46/E$55)</f>
        <v>0</v>
      </c>
      <c r="G46" s="289">
        <f t="shared" si="14"/>
        <v>0</v>
      </c>
      <c r="H46" s="446">
        <f t="shared" si="15"/>
        <v>0</v>
      </c>
    </row>
    <row r="47" spans="2:23" x14ac:dyDescent="0.2">
      <c r="B47" s="560" t="str">
        <f t="shared" si="16"/>
        <v>Producto o servicio 3</v>
      </c>
      <c r="C47" s="444">
        <f>'Presupuesto de ventas'!D17</f>
        <v>0</v>
      </c>
      <c r="D47" s="445">
        <f t="shared" si="17"/>
        <v>0</v>
      </c>
      <c r="E47" s="289">
        <f t="shared" si="18"/>
        <v>0</v>
      </c>
      <c r="F47" s="445">
        <f t="shared" si="19"/>
        <v>0</v>
      </c>
      <c r="G47" s="289">
        <f t="shared" si="14"/>
        <v>0</v>
      </c>
      <c r="H47" s="446">
        <f t="shared" si="15"/>
        <v>0</v>
      </c>
    </row>
    <row r="48" spans="2:23" x14ac:dyDescent="0.2">
      <c r="B48" s="560">
        <f t="shared" si="16"/>
        <v>0</v>
      </c>
      <c r="C48" s="444">
        <f>'Presupuesto de ventas'!D19</f>
        <v>0</v>
      </c>
      <c r="D48" s="445">
        <f t="shared" si="17"/>
        <v>0</v>
      </c>
      <c r="E48" s="289">
        <f t="shared" si="18"/>
        <v>0</v>
      </c>
      <c r="F48" s="445">
        <f t="shared" si="19"/>
        <v>0</v>
      </c>
      <c r="G48" s="289">
        <f t="shared" si="14"/>
        <v>0</v>
      </c>
      <c r="H48" s="446">
        <f t="shared" si="15"/>
        <v>0</v>
      </c>
    </row>
    <row r="49" spans="2:8" x14ac:dyDescent="0.2">
      <c r="B49" s="560">
        <f t="shared" si="16"/>
        <v>0</v>
      </c>
      <c r="C49" s="444">
        <f>'Presupuesto de ventas'!D21</f>
        <v>0</v>
      </c>
      <c r="D49" s="445">
        <f t="shared" si="17"/>
        <v>0</v>
      </c>
      <c r="E49" s="289">
        <f t="shared" si="18"/>
        <v>0</v>
      </c>
      <c r="F49" s="445">
        <f t="shared" si="19"/>
        <v>0</v>
      </c>
      <c r="G49" s="289">
        <f t="shared" si="14"/>
        <v>0</v>
      </c>
      <c r="H49" s="446">
        <f t="shared" si="15"/>
        <v>0</v>
      </c>
    </row>
    <row r="50" spans="2:8" x14ac:dyDescent="0.2">
      <c r="B50" s="560">
        <f t="shared" si="16"/>
        <v>0</v>
      </c>
      <c r="C50" s="444">
        <f>'Presupuesto de ventas'!D23</f>
        <v>0</v>
      </c>
      <c r="D50" s="445">
        <f t="shared" si="17"/>
        <v>0</v>
      </c>
      <c r="E50" s="289">
        <f t="shared" si="18"/>
        <v>0</v>
      </c>
      <c r="F50" s="445">
        <f t="shared" si="19"/>
        <v>0</v>
      </c>
      <c r="G50" s="289">
        <f t="shared" si="14"/>
        <v>0</v>
      </c>
      <c r="H50" s="446">
        <f t="shared" si="15"/>
        <v>0</v>
      </c>
    </row>
    <row r="51" spans="2:8" x14ac:dyDescent="0.2">
      <c r="B51" s="560">
        <f t="shared" si="16"/>
        <v>0</v>
      </c>
      <c r="C51" s="444">
        <f>'Presupuesto de ventas'!D25</f>
        <v>0</v>
      </c>
      <c r="D51" s="445">
        <f t="shared" si="17"/>
        <v>0</v>
      </c>
      <c r="E51" s="289">
        <f t="shared" si="18"/>
        <v>0</v>
      </c>
      <c r="F51" s="445">
        <f t="shared" si="19"/>
        <v>0</v>
      </c>
      <c r="G51" s="289">
        <f t="shared" si="14"/>
        <v>0</v>
      </c>
      <c r="H51" s="446">
        <f t="shared" si="15"/>
        <v>0</v>
      </c>
    </row>
    <row r="52" spans="2:8" x14ac:dyDescent="0.2">
      <c r="B52" s="560">
        <f t="shared" si="16"/>
        <v>0</v>
      </c>
      <c r="C52" s="444">
        <f>'Presupuesto de ventas'!D27</f>
        <v>0</v>
      </c>
      <c r="D52" s="445">
        <f t="shared" si="17"/>
        <v>0</v>
      </c>
      <c r="E52" s="289">
        <f t="shared" si="18"/>
        <v>0</v>
      </c>
      <c r="F52" s="445">
        <f t="shared" si="19"/>
        <v>0</v>
      </c>
      <c r="G52" s="289">
        <f t="shared" si="14"/>
        <v>0</v>
      </c>
      <c r="H52" s="446">
        <f t="shared" si="15"/>
        <v>0</v>
      </c>
    </row>
    <row r="53" spans="2:8" x14ac:dyDescent="0.2">
      <c r="B53" s="560">
        <f t="shared" si="16"/>
        <v>0</v>
      </c>
      <c r="C53" s="444">
        <f>'Presupuesto de ventas'!D29</f>
        <v>0</v>
      </c>
      <c r="D53" s="445">
        <f t="shared" si="17"/>
        <v>0</v>
      </c>
      <c r="E53" s="289">
        <f t="shared" si="18"/>
        <v>0</v>
      </c>
      <c r="F53" s="445">
        <f t="shared" si="19"/>
        <v>0</v>
      </c>
      <c r="G53" s="289">
        <f>+C53-E53</f>
        <v>0</v>
      </c>
      <c r="H53" s="446">
        <f t="shared" si="15"/>
        <v>0</v>
      </c>
    </row>
    <row r="54" spans="2:8" x14ac:dyDescent="0.2">
      <c r="B54" s="980">
        <f t="shared" si="16"/>
        <v>0</v>
      </c>
      <c r="C54" s="444">
        <f>'Presupuesto de ventas'!D31</f>
        <v>0</v>
      </c>
      <c r="D54" s="445">
        <f t="shared" si="17"/>
        <v>0</v>
      </c>
      <c r="E54" s="289">
        <f t="shared" si="18"/>
        <v>0</v>
      </c>
      <c r="F54" s="445">
        <f t="shared" si="19"/>
        <v>0</v>
      </c>
      <c r="G54" s="289">
        <f>+C54-E54</f>
        <v>0</v>
      </c>
      <c r="H54" s="446">
        <f t="shared" si="15"/>
        <v>0</v>
      </c>
    </row>
    <row r="55" spans="2:8" ht="13.5" thickBot="1" x14ac:dyDescent="0.25">
      <c r="B55" s="451" t="s">
        <v>129</v>
      </c>
      <c r="C55" s="452">
        <f>SUM(C45:C54)</f>
        <v>0</v>
      </c>
      <c r="D55" s="453">
        <f>SUM(D45:D54)</f>
        <v>0</v>
      </c>
      <c r="E55" s="452">
        <f>SUM(E45:E52)</f>
        <v>0</v>
      </c>
      <c r="F55" s="453">
        <f>SUM(F44:F52)</f>
        <v>0</v>
      </c>
      <c r="G55" s="452">
        <f>SUM(G45:G54)</f>
        <v>0</v>
      </c>
      <c r="H55" s="454">
        <f>SUM(H45:H54)</f>
        <v>0</v>
      </c>
    </row>
    <row r="56" spans="2:8" ht="7.5" customHeight="1" thickTop="1" x14ac:dyDescent="0.2"/>
    <row r="57" spans="2:8" ht="16.5" thickBot="1" x14ac:dyDescent="0.3">
      <c r="B57" s="138" t="s">
        <v>96</v>
      </c>
    </row>
    <row r="58" spans="2:8" ht="13.5" thickTop="1" x14ac:dyDescent="0.2">
      <c r="B58" s="443"/>
      <c r="C58" s="447"/>
      <c r="D58" s="447" t="s">
        <v>715</v>
      </c>
      <c r="E58" s="447"/>
      <c r="F58" s="447" t="s">
        <v>715</v>
      </c>
      <c r="G58" s="447"/>
      <c r="H58" s="448" t="s">
        <v>716</v>
      </c>
    </row>
    <row r="59" spans="2:8" x14ac:dyDescent="0.2">
      <c r="B59" s="272" t="s">
        <v>704</v>
      </c>
      <c r="C59" s="449" t="s">
        <v>700</v>
      </c>
      <c r="D59" s="449" t="s">
        <v>717</v>
      </c>
      <c r="E59" s="1063" t="s">
        <v>718</v>
      </c>
      <c r="F59" s="449" t="s">
        <v>719</v>
      </c>
      <c r="G59" s="449" t="s">
        <v>720</v>
      </c>
      <c r="H59" s="450" t="s">
        <v>721</v>
      </c>
    </row>
    <row r="60" spans="2:8" x14ac:dyDescent="0.2">
      <c r="B60" s="1115" t="str">
        <f>B13</f>
        <v>Producto o servicio 1</v>
      </c>
      <c r="C60" s="444">
        <f>'Presupuesto de ventas'!F13</f>
        <v>0</v>
      </c>
      <c r="D60" s="445">
        <f>IF(ISERROR(C60/C$70)=TRUE,0,C60/C$70)</f>
        <v>0</v>
      </c>
      <c r="E60" s="289">
        <f>+H13+$G$36*C60</f>
        <v>0</v>
      </c>
      <c r="F60" s="445">
        <f>IF(ISERROR(E60/E$70)=TRUE,0,E60/E$70)</f>
        <v>0</v>
      </c>
      <c r="G60" s="289">
        <f t="shared" ref="G60:G67" si="20">+C60-E60</f>
        <v>0</v>
      </c>
      <c r="H60" s="446">
        <f>IF(ISERROR(G60/G$70)=TRUE,0,G60/G$70)</f>
        <v>0</v>
      </c>
    </row>
    <row r="61" spans="2:8" x14ac:dyDescent="0.2">
      <c r="B61" s="560" t="str">
        <f t="shared" ref="B61:B69" si="21">B14</f>
        <v>Producto o servicio 2</v>
      </c>
      <c r="C61" s="444">
        <f>'Presupuesto de ventas'!F15</f>
        <v>0</v>
      </c>
      <c r="D61" s="445">
        <f t="shared" ref="D61:D69" si="22">IF(ISERROR(C61/C$70)=TRUE,0,C61/C$70)</f>
        <v>0</v>
      </c>
      <c r="E61" s="289">
        <f t="shared" ref="E61:E69" si="23">+H14+$G$36*C61</f>
        <v>0</v>
      </c>
      <c r="F61" s="445">
        <f t="shared" ref="F61:F69" si="24">IF(ISERROR(E61/E$70)=TRUE,0,E61/E$70)</f>
        <v>0</v>
      </c>
      <c r="G61" s="289">
        <f t="shared" si="20"/>
        <v>0</v>
      </c>
      <c r="H61" s="446">
        <f t="shared" ref="H61:H69" si="25">IF(ISERROR(G61/G$70)=TRUE,0,G61/G$70)</f>
        <v>0</v>
      </c>
    </row>
    <row r="62" spans="2:8" x14ac:dyDescent="0.2">
      <c r="B62" s="560" t="str">
        <f t="shared" si="21"/>
        <v>Producto o servicio 3</v>
      </c>
      <c r="C62" s="444">
        <f>'Presupuesto de ventas'!F17</f>
        <v>0</v>
      </c>
      <c r="D62" s="445">
        <f t="shared" si="22"/>
        <v>0</v>
      </c>
      <c r="E62" s="289">
        <f t="shared" si="23"/>
        <v>0</v>
      </c>
      <c r="F62" s="445">
        <f t="shared" si="24"/>
        <v>0</v>
      </c>
      <c r="G62" s="289">
        <f t="shared" si="20"/>
        <v>0</v>
      </c>
      <c r="H62" s="446">
        <f t="shared" si="25"/>
        <v>0</v>
      </c>
    </row>
    <row r="63" spans="2:8" x14ac:dyDescent="0.2">
      <c r="B63" s="560">
        <f t="shared" si="21"/>
        <v>0</v>
      </c>
      <c r="C63" s="444">
        <f>'Presupuesto de ventas'!F19</f>
        <v>0</v>
      </c>
      <c r="D63" s="445">
        <f t="shared" si="22"/>
        <v>0</v>
      </c>
      <c r="E63" s="289">
        <f t="shared" si="23"/>
        <v>0</v>
      </c>
      <c r="F63" s="445">
        <f t="shared" si="24"/>
        <v>0</v>
      </c>
      <c r="G63" s="289">
        <f t="shared" si="20"/>
        <v>0</v>
      </c>
      <c r="H63" s="446">
        <f t="shared" si="25"/>
        <v>0</v>
      </c>
    </row>
    <row r="64" spans="2:8" x14ac:dyDescent="0.2">
      <c r="B64" s="560">
        <f t="shared" si="21"/>
        <v>0</v>
      </c>
      <c r="C64" s="444">
        <f>'Presupuesto de ventas'!F21</f>
        <v>0</v>
      </c>
      <c r="D64" s="445">
        <f t="shared" si="22"/>
        <v>0</v>
      </c>
      <c r="E64" s="289">
        <f t="shared" si="23"/>
        <v>0</v>
      </c>
      <c r="F64" s="445">
        <f t="shared" si="24"/>
        <v>0</v>
      </c>
      <c r="G64" s="289">
        <f t="shared" si="20"/>
        <v>0</v>
      </c>
      <c r="H64" s="446">
        <f t="shared" si="25"/>
        <v>0</v>
      </c>
    </row>
    <row r="65" spans="2:12" x14ac:dyDescent="0.2">
      <c r="B65" s="560">
        <f t="shared" si="21"/>
        <v>0</v>
      </c>
      <c r="C65" s="444">
        <f>'Presupuesto de ventas'!F23</f>
        <v>0</v>
      </c>
      <c r="D65" s="445">
        <f t="shared" si="22"/>
        <v>0</v>
      </c>
      <c r="E65" s="289">
        <f t="shared" si="23"/>
        <v>0</v>
      </c>
      <c r="F65" s="445">
        <f t="shared" si="24"/>
        <v>0</v>
      </c>
      <c r="G65" s="289">
        <f t="shared" si="20"/>
        <v>0</v>
      </c>
      <c r="H65" s="446">
        <f t="shared" si="25"/>
        <v>0</v>
      </c>
    </row>
    <row r="66" spans="2:12" x14ac:dyDescent="0.2">
      <c r="B66" s="560">
        <f t="shared" si="21"/>
        <v>0</v>
      </c>
      <c r="C66" s="444">
        <f>'Presupuesto de ventas'!F25</f>
        <v>0</v>
      </c>
      <c r="D66" s="445">
        <f t="shared" si="22"/>
        <v>0</v>
      </c>
      <c r="E66" s="289">
        <f t="shared" si="23"/>
        <v>0</v>
      </c>
      <c r="F66" s="445">
        <f t="shared" si="24"/>
        <v>0</v>
      </c>
      <c r="G66" s="289">
        <f t="shared" si="20"/>
        <v>0</v>
      </c>
      <c r="H66" s="446">
        <f t="shared" si="25"/>
        <v>0</v>
      </c>
    </row>
    <row r="67" spans="2:12" x14ac:dyDescent="0.2">
      <c r="B67" s="560">
        <f t="shared" si="21"/>
        <v>0</v>
      </c>
      <c r="C67" s="444">
        <f>'Presupuesto de ventas'!F27</f>
        <v>0</v>
      </c>
      <c r="D67" s="445">
        <f t="shared" si="22"/>
        <v>0</v>
      </c>
      <c r="E67" s="289">
        <f t="shared" si="23"/>
        <v>0</v>
      </c>
      <c r="F67" s="445">
        <f t="shared" si="24"/>
        <v>0</v>
      </c>
      <c r="G67" s="289">
        <f t="shared" si="20"/>
        <v>0</v>
      </c>
      <c r="H67" s="446">
        <f t="shared" si="25"/>
        <v>0</v>
      </c>
    </row>
    <row r="68" spans="2:12" x14ac:dyDescent="0.2">
      <c r="B68" s="560">
        <f t="shared" si="21"/>
        <v>0</v>
      </c>
      <c r="C68" s="444">
        <f>'Presupuesto de ventas'!F29</f>
        <v>0</v>
      </c>
      <c r="D68" s="445">
        <f t="shared" si="22"/>
        <v>0</v>
      </c>
      <c r="E68" s="289">
        <f t="shared" si="23"/>
        <v>0</v>
      </c>
      <c r="F68" s="445">
        <f t="shared" si="24"/>
        <v>0</v>
      </c>
      <c r="G68" s="289">
        <f>+C68-E68</f>
        <v>0</v>
      </c>
      <c r="H68" s="446">
        <f t="shared" si="25"/>
        <v>0</v>
      </c>
    </row>
    <row r="69" spans="2:12" x14ac:dyDescent="0.2">
      <c r="B69" s="980">
        <f t="shared" si="21"/>
        <v>0</v>
      </c>
      <c r="C69" s="444">
        <f>'Presupuesto de ventas'!F31</f>
        <v>0</v>
      </c>
      <c r="D69" s="445">
        <f t="shared" si="22"/>
        <v>0</v>
      </c>
      <c r="E69" s="289">
        <f t="shared" si="23"/>
        <v>0</v>
      </c>
      <c r="F69" s="445">
        <f t="shared" si="24"/>
        <v>0</v>
      </c>
      <c r="G69" s="289">
        <f>+C69-E69</f>
        <v>0</v>
      </c>
      <c r="H69" s="446">
        <f t="shared" si="25"/>
        <v>0</v>
      </c>
    </row>
    <row r="70" spans="2:12" ht="13.5" thickBot="1" x14ac:dyDescent="0.25">
      <c r="B70" s="451" t="s">
        <v>129</v>
      </c>
      <c r="C70" s="452">
        <f>SUM(C60:C69)</f>
        <v>0</v>
      </c>
      <c r="D70" s="453">
        <f>SUM(D60:D69)</f>
        <v>0</v>
      </c>
      <c r="E70" s="452">
        <f>SUM(E60:E67)</f>
        <v>0</v>
      </c>
      <c r="F70" s="453">
        <f>SUM(F59:F67)</f>
        <v>0</v>
      </c>
      <c r="G70" s="452">
        <f>SUM(G60:G69)</f>
        <v>0</v>
      </c>
      <c r="H70" s="454">
        <f>SUM(H60:H69)</f>
        <v>0</v>
      </c>
    </row>
    <row r="71" spans="2:12" ht="5.25" customHeight="1" thickTop="1" x14ac:dyDescent="0.2"/>
    <row r="72" spans="2:12" ht="16.5" thickBot="1" x14ac:dyDescent="0.3">
      <c r="B72" s="138" t="s">
        <v>97</v>
      </c>
    </row>
    <row r="73" spans="2:12" ht="13.5" thickTop="1" x14ac:dyDescent="0.2">
      <c r="B73" s="443"/>
      <c r="C73" s="447"/>
      <c r="D73" s="447" t="s">
        <v>715</v>
      </c>
      <c r="E73" s="447"/>
      <c r="F73" s="447" t="s">
        <v>715</v>
      </c>
      <c r="G73" s="447"/>
      <c r="H73" s="448" t="s">
        <v>716</v>
      </c>
    </row>
    <row r="74" spans="2:12" x14ac:dyDescent="0.2">
      <c r="B74" s="272" t="s">
        <v>704</v>
      </c>
      <c r="C74" s="449" t="s">
        <v>700</v>
      </c>
      <c r="D74" s="449" t="s">
        <v>717</v>
      </c>
      <c r="E74" s="1063" t="s">
        <v>718</v>
      </c>
      <c r="F74" s="449" t="s">
        <v>719</v>
      </c>
      <c r="G74" s="449" t="s">
        <v>720</v>
      </c>
      <c r="H74" s="450" t="s">
        <v>721</v>
      </c>
      <c r="L74" s="719"/>
    </row>
    <row r="75" spans="2:12" x14ac:dyDescent="0.2">
      <c r="B75" s="1115" t="str">
        <f>B13</f>
        <v>Producto o servicio 1</v>
      </c>
      <c r="C75" s="444">
        <f>'Presupuesto de ventas'!H13</f>
        <v>0</v>
      </c>
      <c r="D75" s="445">
        <f>IF(ISERROR(C75/C$85)=TRUE,0,C75/C$85)</f>
        <v>0</v>
      </c>
      <c r="E75" s="289">
        <f>K13+$J$36*C75</f>
        <v>0</v>
      </c>
      <c r="F75" s="445">
        <f>IF(ISERROR(E75/E$85)=TRUE,0,E75/E$85)</f>
        <v>0</v>
      </c>
      <c r="G75" s="289">
        <f t="shared" ref="G75:G82" si="26">+C75-E75</f>
        <v>0</v>
      </c>
      <c r="H75" s="446">
        <f>IF(ISERROR(G75/G$85)=TRUE,0,G75/G$85)</f>
        <v>0</v>
      </c>
      <c r="I75" s="1048"/>
      <c r="J75" s="719"/>
      <c r="K75" s="719"/>
      <c r="L75" s="719"/>
    </row>
    <row r="76" spans="2:12" x14ac:dyDescent="0.2">
      <c r="B76" s="560" t="str">
        <f t="shared" ref="B76:B84" si="27">B14</f>
        <v>Producto o servicio 2</v>
      </c>
      <c r="C76" s="444">
        <f>'Presupuesto de ventas'!H15</f>
        <v>0</v>
      </c>
      <c r="D76" s="445">
        <f t="shared" ref="D76:D84" si="28">IF(ISERROR(C76/C$85)=TRUE,0,C76/C$85)</f>
        <v>0</v>
      </c>
      <c r="E76" s="289">
        <f t="shared" ref="E76:E84" si="29">K14+$J$36*C76</f>
        <v>0</v>
      </c>
      <c r="F76" s="445">
        <f t="shared" ref="F76:F84" si="30">IF(ISERROR(E76/E$85)=TRUE,0,E76/E$85)</f>
        <v>0</v>
      </c>
      <c r="G76" s="289">
        <f t="shared" si="26"/>
        <v>0</v>
      </c>
      <c r="H76" s="446">
        <f t="shared" ref="H76:H84" si="31">IF(ISERROR(G76/G$85)=TRUE,0,G76/G$85)</f>
        <v>0</v>
      </c>
      <c r="I76" s="1048"/>
      <c r="J76" s="719"/>
      <c r="K76" s="719"/>
      <c r="L76" s="719"/>
    </row>
    <row r="77" spans="2:12" x14ac:dyDescent="0.2">
      <c r="B77" s="560" t="str">
        <f t="shared" si="27"/>
        <v>Producto o servicio 3</v>
      </c>
      <c r="C77" s="444">
        <f>'Presupuesto de ventas'!H17</f>
        <v>0</v>
      </c>
      <c r="D77" s="445">
        <f t="shared" si="28"/>
        <v>0</v>
      </c>
      <c r="E77" s="289">
        <f t="shared" si="29"/>
        <v>0</v>
      </c>
      <c r="F77" s="445">
        <f t="shared" si="30"/>
        <v>0</v>
      </c>
      <c r="G77" s="289">
        <f t="shared" si="26"/>
        <v>0</v>
      </c>
      <c r="H77" s="446">
        <f t="shared" si="31"/>
        <v>0</v>
      </c>
      <c r="I77" s="1048"/>
      <c r="J77" s="719"/>
      <c r="K77" s="719"/>
      <c r="L77" s="719"/>
    </row>
    <row r="78" spans="2:12" x14ac:dyDescent="0.2">
      <c r="B78" s="560">
        <f t="shared" si="27"/>
        <v>0</v>
      </c>
      <c r="C78" s="444">
        <f>'Presupuesto de ventas'!H19</f>
        <v>0</v>
      </c>
      <c r="D78" s="445">
        <f t="shared" si="28"/>
        <v>0</v>
      </c>
      <c r="E78" s="289">
        <f t="shared" si="29"/>
        <v>0</v>
      </c>
      <c r="F78" s="445">
        <f t="shared" si="30"/>
        <v>0</v>
      </c>
      <c r="G78" s="289">
        <f t="shared" si="26"/>
        <v>0</v>
      </c>
      <c r="H78" s="446">
        <f t="shared" si="31"/>
        <v>0</v>
      </c>
      <c r="I78" s="1048"/>
      <c r="J78" s="719"/>
      <c r="K78" s="719"/>
      <c r="L78" s="719"/>
    </row>
    <row r="79" spans="2:12" x14ac:dyDescent="0.2">
      <c r="B79" s="560">
        <f t="shared" si="27"/>
        <v>0</v>
      </c>
      <c r="C79" s="444">
        <f>'Presupuesto de ventas'!H21</f>
        <v>0</v>
      </c>
      <c r="D79" s="445">
        <f t="shared" si="28"/>
        <v>0</v>
      </c>
      <c r="E79" s="289">
        <f t="shared" si="29"/>
        <v>0</v>
      </c>
      <c r="F79" s="445">
        <f t="shared" si="30"/>
        <v>0</v>
      </c>
      <c r="G79" s="289">
        <f t="shared" si="26"/>
        <v>0</v>
      </c>
      <c r="H79" s="446">
        <f t="shared" si="31"/>
        <v>0</v>
      </c>
      <c r="I79" s="1048"/>
      <c r="J79" s="719"/>
      <c r="K79" s="719"/>
      <c r="L79" s="719"/>
    </row>
    <row r="80" spans="2:12" x14ac:dyDescent="0.2">
      <c r="B80" s="560">
        <f t="shared" si="27"/>
        <v>0</v>
      </c>
      <c r="C80" s="444">
        <f>'Presupuesto de ventas'!H23</f>
        <v>0</v>
      </c>
      <c r="D80" s="445">
        <f t="shared" si="28"/>
        <v>0</v>
      </c>
      <c r="E80" s="289">
        <f t="shared" si="29"/>
        <v>0</v>
      </c>
      <c r="F80" s="445">
        <f t="shared" si="30"/>
        <v>0</v>
      </c>
      <c r="G80" s="289">
        <f t="shared" si="26"/>
        <v>0</v>
      </c>
      <c r="H80" s="446">
        <f t="shared" si="31"/>
        <v>0</v>
      </c>
      <c r="I80" s="1048"/>
      <c r="J80" s="719"/>
      <c r="K80" s="719"/>
      <c r="L80" s="719"/>
    </row>
    <row r="81" spans="2:16" x14ac:dyDescent="0.2">
      <c r="B81" s="560">
        <f t="shared" si="27"/>
        <v>0</v>
      </c>
      <c r="C81" s="444">
        <f>'Presupuesto de ventas'!H25</f>
        <v>0</v>
      </c>
      <c r="D81" s="445">
        <f t="shared" si="28"/>
        <v>0</v>
      </c>
      <c r="E81" s="289">
        <f t="shared" si="29"/>
        <v>0</v>
      </c>
      <c r="F81" s="445">
        <f t="shared" si="30"/>
        <v>0</v>
      </c>
      <c r="G81" s="289">
        <f t="shared" si="26"/>
        <v>0</v>
      </c>
      <c r="H81" s="446">
        <f t="shared" si="31"/>
        <v>0</v>
      </c>
      <c r="I81" s="1048"/>
      <c r="J81" s="719"/>
      <c r="K81" s="719"/>
      <c r="L81" s="719"/>
    </row>
    <row r="82" spans="2:16" x14ac:dyDescent="0.2">
      <c r="B82" s="560">
        <f t="shared" si="27"/>
        <v>0</v>
      </c>
      <c r="C82" s="444">
        <f>'Presupuesto de ventas'!H27</f>
        <v>0</v>
      </c>
      <c r="D82" s="445">
        <f t="shared" si="28"/>
        <v>0</v>
      </c>
      <c r="E82" s="289">
        <f t="shared" si="29"/>
        <v>0</v>
      </c>
      <c r="F82" s="445">
        <f t="shared" si="30"/>
        <v>0</v>
      </c>
      <c r="G82" s="289">
        <f t="shared" si="26"/>
        <v>0</v>
      </c>
      <c r="H82" s="446">
        <f t="shared" si="31"/>
        <v>0</v>
      </c>
      <c r="I82" s="1048"/>
      <c r="J82" s="719"/>
      <c r="K82" s="719"/>
      <c r="L82" s="719"/>
    </row>
    <row r="83" spans="2:16" x14ac:dyDescent="0.2">
      <c r="B83" s="560">
        <f t="shared" si="27"/>
        <v>0</v>
      </c>
      <c r="C83" s="444">
        <f>'Presupuesto de ventas'!H29</f>
        <v>0</v>
      </c>
      <c r="D83" s="445">
        <f t="shared" si="28"/>
        <v>0</v>
      </c>
      <c r="E83" s="289">
        <f t="shared" si="29"/>
        <v>0</v>
      </c>
      <c r="F83" s="445">
        <f t="shared" si="30"/>
        <v>0</v>
      </c>
      <c r="G83" s="289">
        <f>+C83-E83</f>
        <v>0</v>
      </c>
      <c r="H83" s="446">
        <f t="shared" si="31"/>
        <v>0</v>
      </c>
      <c r="I83" s="1048"/>
      <c r="J83" s="719"/>
      <c r="K83" s="719"/>
      <c r="L83" s="719"/>
    </row>
    <row r="84" spans="2:16" x14ac:dyDescent="0.2">
      <c r="B84" s="980">
        <f t="shared" si="27"/>
        <v>0</v>
      </c>
      <c r="C84" s="444">
        <f>'Presupuesto de ventas'!H31</f>
        <v>0</v>
      </c>
      <c r="D84" s="445">
        <f t="shared" si="28"/>
        <v>0</v>
      </c>
      <c r="E84" s="289">
        <f t="shared" si="29"/>
        <v>0</v>
      </c>
      <c r="F84" s="445">
        <f t="shared" si="30"/>
        <v>0</v>
      </c>
      <c r="G84" s="289">
        <f>+C84-E84</f>
        <v>0</v>
      </c>
      <c r="H84" s="446">
        <f t="shared" si="31"/>
        <v>0</v>
      </c>
      <c r="I84" s="1048"/>
      <c r="J84" s="719"/>
      <c r="K84" s="719"/>
      <c r="L84" s="719"/>
    </row>
    <row r="85" spans="2:16" ht="13.5" thickBot="1" x14ac:dyDescent="0.25">
      <c r="B85" s="451" t="s">
        <v>129</v>
      </c>
      <c r="C85" s="452">
        <f>SUM(C75:C84)</f>
        <v>0</v>
      </c>
      <c r="D85" s="453">
        <f>SUM(D75:D84)</f>
        <v>0</v>
      </c>
      <c r="E85" s="452">
        <f>SUM(E75:E82)</f>
        <v>0</v>
      </c>
      <c r="F85" s="453">
        <f>SUM(F74:F82)</f>
        <v>0</v>
      </c>
      <c r="G85" s="452">
        <f>SUM(G75:G84)</f>
        <v>0</v>
      </c>
      <c r="H85" s="454">
        <f>SUM(H75:H84)</f>
        <v>0</v>
      </c>
    </row>
    <row r="86" spans="2:16" ht="13.5" thickTop="1" x14ac:dyDescent="0.2"/>
    <row r="88" spans="2:16" ht="15.75" x14ac:dyDescent="0.25">
      <c r="B88" s="138" t="s">
        <v>722</v>
      </c>
      <c r="D88" s="138" t="s">
        <v>459</v>
      </c>
    </row>
    <row r="89" spans="2:16" ht="6.75" customHeight="1" thickBot="1" x14ac:dyDescent="0.25"/>
    <row r="90" spans="2:16" ht="24" customHeight="1" x14ac:dyDescent="0.2">
      <c r="B90" s="388" t="s">
        <v>704</v>
      </c>
      <c r="C90" s="458"/>
      <c r="D90" s="972" t="s">
        <v>296</v>
      </c>
      <c r="E90" s="973" t="s">
        <v>297</v>
      </c>
      <c r="F90" s="973" t="s">
        <v>298</v>
      </c>
      <c r="G90" s="973" t="s">
        <v>120</v>
      </c>
      <c r="H90" s="973" t="s">
        <v>121</v>
      </c>
      <c r="I90" s="973" t="s">
        <v>122</v>
      </c>
      <c r="J90" s="973" t="s">
        <v>123</v>
      </c>
      <c r="K90" s="973" t="s">
        <v>299</v>
      </c>
      <c r="L90" s="973" t="s">
        <v>300</v>
      </c>
      <c r="M90" s="973" t="s">
        <v>301</v>
      </c>
      <c r="N90" s="973" t="s">
        <v>302</v>
      </c>
      <c r="O90" s="974" t="s">
        <v>303</v>
      </c>
      <c r="P90" s="975" t="s">
        <v>711</v>
      </c>
    </row>
    <row r="91" spans="2:16" ht="15" customHeight="1" x14ac:dyDescent="0.2">
      <c r="B91" s="1462" t="s">
        <v>723</v>
      </c>
      <c r="C91" s="1466"/>
      <c r="D91" s="970"/>
      <c r="E91" s="955"/>
      <c r="F91" s="955"/>
      <c r="G91" s="955"/>
      <c r="H91" s="955"/>
      <c r="I91" s="955"/>
      <c r="J91" s="955"/>
      <c r="K91" s="955"/>
      <c r="L91" s="955"/>
      <c r="M91" s="955"/>
      <c r="N91" s="955"/>
      <c r="O91" s="955"/>
      <c r="P91" s="976"/>
    </row>
    <row r="92" spans="2:16" x14ac:dyDescent="0.2">
      <c r="B92" s="947" t="str">
        <f t="shared" ref="B92:B103" si="32">B13</f>
        <v>Producto o servicio 1</v>
      </c>
      <c r="C92" s="1015"/>
      <c r="D92" s="831">
        <f>IF($C$1&gt;E$1,0,'Previsión de negocio'!D31*'Previsión de negocio'!D34)</f>
        <v>0</v>
      </c>
      <c r="E92" s="831">
        <f>IF($C$1&gt;F$1,0,'Previsión de negocio'!E31*'Previsión de negocio'!E34)</f>
        <v>0</v>
      </c>
      <c r="F92" s="831">
        <f>IF($C$1&gt;G$1,0,'Previsión de negocio'!F31*'Previsión de negocio'!F34)</f>
        <v>0</v>
      </c>
      <c r="G92" s="831">
        <f>IF($C$1&gt;H$1,0,'Previsión de negocio'!G31*'Previsión de negocio'!G34)</f>
        <v>0</v>
      </c>
      <c r="H92" s="831">
        <f>IF($C$1&gt;I$1,0,'Previsión de negocio'!H31*'Previsión de negocio'!H34)</f>
        <v>0</v>
      </c>
      <c r="I92" s="831">
        <f>IF($C$1&gt;J$1,0,'Previsión de negocio'!I31*'Previsión de negocio'!I34)</f>
        <v>0</v>
      </c>
      <c r="J92" s="831">
        <f>IF($C$1&gt;K$1,0,'Previsión de negocio'!J31*'Previsión de negocio'!J34)</f>
        <v>0</v>
      </c>
      <c r="K92" s="831">
        <f>IF($C$1&gt;L$1,0,'Previsión de negocio'!K31*'Previsión de negocio'!K34)</f>
        <v>0</v>
      </c>
      <c r="L92" s="831">
        <f>IF($C$1&gt;M$1,0,'Previsión de negocio'!L31*'Previsión de negocio'!L34)</f>
        <v>0</v>
      </c>
      <c r="M92" s="831">
        <f>IF($C$1&gt;N$1,0,'Previsión de negocio'!M31*'Previsión de negocio'!M34)</f>
        <v>0</v>
      </c>
      <c r="N92" s="831">
        <f>IF($C$1&gt;O$1,0,'Previsión de negocio'!N31*'Previsión de negocio'!N34)</f>
        <v>0</v>
      </c>
      <c r="O92" s="831">
        <f>IF($C$1&gt;P$1,0,'Previsión de negocio'!O31*'Previsión de negocio'!O34)</f>
        <v>0</v>
      </c>
      <c r="P92" s="847">
        <f>SUM(D92:O92)</f>
        <v>0</v>
      </c>
    </row>
    <row r="93" spans="2:16" x14ac:dyDescent="0.2">
      <c r="B93" s="947" t="str">
        <f t="shared" si="32"/>
        <v>Producto o servicio 2</v>
      </c>
      <c r="C93" s="1119"/>
      <c r="D93" s="831">
        <f>IF($C$1&gt;E$1,0,'Previsión de negocio'!D37*'Previsión de negocio'!D40)</f>
        <v>0</v>
      </c>
      <c r="E93" s="831">
        <f>IF($C$1&gt;F$1,0,'Previsión de negocio'!E37*'Previsión de negocio'!E40)</f>
        <v>0</v>
      </c>
      <c r="F93" s="831">
        <f>IF($C$1&gt;G$1,0,'Previsión de negocio'!F37*'Previsión de negocio'!F40)</f>
        <v>0</v>
      </c>
      <c r="G93" s="831">
        <f>IF($C$1&gt;H$1,0,'Previsión de negocio'!G37*'Previsión de negocio'!G40)</f>
        <v>0</v>
      </c>
      <c r="H93" s="831">
        <f>IF($C$1&gt;I$1,0,'Previsión de negocio'!H37*'Previsión de negocio'!H40)</f>
        <v>0</v>
      </c>
      <c r="I93" s="831">
        <f>IF($C$1&gt;J$1,0,'Previsión de negocio'!I37*'Previsión de negocio'!I40)</f>
        <v>0</v>
      </c>
      <c r="J93" s="831">
        <f>IF($C$1&gt;K$1,0,'Previsión de negocio'!J37*'Previsión de negocio'!J40)</f>
        <v>0</v>
      </c>
      <c r="K93" s="831">
        <f>IF($C$1&gt;L$1,0,'Previsión de negocio'!K37*'Previsión de negocio'!K40)</f>
        <v>0</v>
      </c>
      <c r="L93" s="831">
        <f>IF($C$1&gt;M$1,0,'Previsión de negocio'!L37*'Previsión de negocio'!L40)</f>
        <v>0</v>
      </c>
      <c r="M93" s="831">
        <f>IF($C$1&gt;N$1,0,'Previsión de negocio'!M37*'Previsión de negocio'!M40)</f>
        <v>0</v>
      </c>
      <c r="N93" s="831">
        <f>IF($C$1&gt;O$1,0,'Previsión de negocio'!N37*'Previsión de negocio'!N40)</f>
        <v>0</v>
      </c>
      <c r="O93" s="831">
        <f>IF($C$1&gt;P$1,0,'Previsión de negocio'!O37*'Previsión de negocio'!O40)</f>
        <v>0</v>
      </c>
      <c r="P93" s="457">
        <f t="shared" ref="P93:P104" si="33">SUM(D93:O93)</f>
        <v>0</v>
      </c>
    </row>
    <row r="94" spans="2:16" x14ac:dyDescent="0.2">
      <c r="B94" s="947" t="str">
        <f t="shared" si="32"/>
        <v>Producto o servicio 3</v>
      </c>
      <c r="C94" s="1119"/>
      <c r="D94" s="831">
        <f>IF($C$1&gt;E$1,0,'Previsión de negocio'!D43*'Previsión de negocio'!D46)</f>
        <v>0</v>
      </c>
      <c r="E94" s="831">
        <f>IF($C$1&gt;F$1,0,'Previsión de negocio'!E43*'Previsión de negocio'!E46)</f>
        <v>0</v>
      </c>
      <c r="F94" s="831">
        <f>IF($C$1&gt;G$1,0,'Previsión de negocio'!F43*'Previsión de negocio'!F46)</f>
        <v>0</v>
      </c>
      <c r="G94" s="831">
        <f>IF($C$1&gt;H$1,0,'Previsión de negocio'!G43*'Previsión de negocio'!G46)</f>
        <v>0</v>
      </c>
      <c r="H94" s="831">
        <f>IF($C$1&gt;I$1,0,'Previsión de negocio'!H43*'Previsión de negocio'!H46)</f>
        <v>0</v>
      </c>
      <c r="I94" s="831">
        <f>IF($C$1&gt;J$1,0,'Previsión de negocio'!I43*'Previsión de negocio'!I46)</f>
        <v>0</v>
      </c>
      <c r="J94" s="831">
        <f>IF($C$1&gt;K$1,0,'Previsión de negocio'!J43*'Previsión de negocio'!J46)</f>
        <v>0</v>
      </c>
      <c r="K94" s="831">
        <f>IF($C$1&gt;L$1,0,'Previsión de negocio'!K43*'Previsión de negocio'!K46)</f>
        <v>0</v>
      </c>
      <c r="L94" s="831">
        <f>IF($C$1&gt;M$1,0,'Previsión de negocio'!L43*'Previsión de negocio'!L46)</f>
        <v>0</v>
      </c>
      <c r="M94" s="831">
        <f>IF($C$1&gt;N$1,0,'Previsión de negocio'!M43*'Previsión de negocio'!M46)</f>
        <v>0</v>
      </c>
      <c r="N94" s="831">
        <f>IF($C$1&gt;O$1,0,'Previsión de negocio'!N43*'Previsión de negocio'!N46)</f>
        <v>0</v>
      </c>
      <c r="O94" s="831">
        <f>IF($C$1&gt;P$1,0,'Previsión de negocio'!O43*'Previsión de negocio'!O46)</f>
        <v>0</v>
      </c>
      <c r="P94" s="457">
        <f t="shared" si="33"/>
        <v>0</v>
      </c>
    </row>
    <row r="95" spans="2:16" x14ac:dyDescent="0.2">
      <c r="B95" s="947">
        <f t="shared" si="32"/>
        <v>0</v>
      </c>
      <c r="C95" s="1119"/>
      <c r="D95" s="831">
        <f>IF($C$1&gt;E$1,0,'Previsión de negocio'!D49*'Previsión de negocio'!D52)</f>
        <v>0</v>
      </c>
      <c r="E95" s="831">
        <f>IF($C$1&gt;F$1,0,'Previsión de negocio'!E49*'Previsión de negocio'!E52)</f>
        <v>0</v>
      </c>
      <c r="F95" s="831">
        <f>IF($C$1&gt;G$1,0,'Previsión de negocio'!F49*'Previsión de negocio'!F52)</f>
        <v>0</v>
      </c>
      <c r="G95" s="831">
        <f>IF($C$1&gt;H$1,0,'Previsión de negocio'!G49*'Previsión de negocio'!G52)</f>
        <v>0</v>
      </c>
      <c r="H95" s="831">
        <f>IF($C$1&gt;I$1,0,'Previsión de negocio'!H49*'Previsión de negocio'!H52)</f>
        <v>0</v>
      </c>
      <c r="I95" s="831">
        <f>IF($C$1&gt;J$1,0,'Previsión de negocio'!I49*'Previsión de negocio'!I52)</f>
        <v>0</v>
      </c>
      <c r="J95" s="831">
        <f>IF($C$1&gt;K$1,0,'Previsión de negocio'!J49*'Previsión de negocio'!J52)</f>
        <v>0</v>
      </c>
      <c r="K95" s="831">
        <f>IF($C$1&gt;L$1,0,'Previsión de negocio'!K49*'Previsión de negocio'!K52)</f>
        <v>0</v>
      </c>
      <c r="L95" s="831">
        <f>IF($C$1&gt;M$1,0,'Previsión de negocio'!L49*'Previsión de negocio'!L52)</f>
        <v>0</v>
      </c>
      <c r="M95" s="831">
        <f>IF($C$1&gt;N$1,0,'Previsión de negocio'!M49*'Previsión de negocio'!M52)</f>
        <v>0</v>
      </c>
      <c r="N95" s="831">
        <f>IF($C$1&gt;O$1,0,'Previsión de negocio'!N49*'Previsión de negocio'!N52)</f>
        <v>0</v>
      </c>
      <c r="O95" s="831">
        <f>IF($C$1&gt;P$1,0,'Previsión de negocio'!O49*'Previsión de negocio'!O52)</f>
        <v>0</v>
      </c>
      <c r="P95" s="457">
        <f t="shared" si="33"/>
        <v>0</v>
      </c>
    </row>
    <row r="96" spans="2:16" x14ac:dyDescent="0.2">
      <c r="B96" s="947">
        <f t="shared" si="32"/>
        <v>0</v>
      </c>
      <c r="C96" s="1119"/>
      <c r="D96" s="831">
        <f>IF($C$1&gt;E$1,0,'Previsión de negocio'!D55*'Previsión de negocio'!D58)</f>
        <v>0</v>
      </c>
      <c r="E96" s="831">
        <f>IF($C$1&gt;F$1,0,'Previsión de negocio'!E55*'Previsión de negocio'!E58)</f>
        <v>0</v>
      </c>
      <c r="F96" s="831">
        <f>IF($C$1&gt;G$1,0,'Previsión de negocio'!F55*'Previsión de negocio'!F58)</f>
        <v>0</v>
      </c>
      <c r="G96" s="831">
        <f>IF($C$1&gt;H$1,0,'Previsión de negocio'!G55*'Previsión de negocio'!G58)</f>
        <v>0</v>
      </c>
      <c r="H96" s="831">
        <f>IF($C$1&gt;I$1,0,'Previsión de negocio'!H55*'Previsión de negocio'!H58)</f>
        <v>0</v>
      </c>
      <c r="I96" s="831">
        <f>IF($C$1&gt;J$1,0,'Previsión de negocio'!I55*'Previsión de negocio'!I58)</f>
        <v>0</v>
      </c>
      <c r="J96" s="831">
        <f>IF($C$1&gt;K$1,0,'Previsión de negocio'!J55*'Previsión de negocio'!J58)</f>
        <v>0</v>
      </c>
      <c r="K96" s="831">
        <f>IF($C$1&gt;L$1,0,'Previsión de negocio'!K55*'Previsión de negocio'!K58)</f>
        <v>0</v>
      </c>
      <c r="L96" s="831">
        <f>IF($C$1&gt;M$1,0,'Previsión de negocio'!L55*'Previsión de negocio'!L58)</f>
        <v>0</v>
      </c>
      <c r="M96" s="831">
        <f>IF($C$1&gt;N$1,0,'Previsión de negocio'!M55*'Previsión de negocio'!M58)</f>
        <v>0</v>
      </c>
      <c r="N96" s="831">
        <f>IF($C$1&gt;O$1,0,'Previsión de negocio'!N55*'Previsión de negocio'!N58)</f>
        <v>0</v>
      </c>
      <c r="O96" s="831">
        <f>IF($C$1&gt;P$1,0,'Previsión de negocio'!O55*'Previsión de negocio'!O58)</f>
        <v>0</v>
      </c>
      <c r="P96" s="457">
        <f t="shared" si="33"/>
        <v>0</v>
      </c>
    </row>
    <row r="97" spans="2:16" x14ac:dyDescent="0.2">
      <c r="B97" s="947">
        <f t="shared" si="32"/>
        <v>0</v>
      </c>
      <c r="C97" s="1119"/>
      <c r="D97" s="831">
        <f>IF($C$1&gt;E$1,0,'Previsión de negocio'!D61*'Previsión de negocio'!D64)</f>
        <v>0</v>
      </c>
      <c r="E97" s="831">
        <f>IF($C$1&gt;F$1,0,'Previsión de negocio'!E61*'Previsión de negocio'!E64)</f>
        <v>0</v>
      </c>
      <c r="F97" s="831">
        <f>IF($C$1&gt;G$1,0,'Previsión de negocio'!F61*'Previsión de negocio'!F64)</f>
        <v>0</v>
      </c>
      <c r="G97" s="831">
        <f>IF($C$1&gt;H$1,0,'Previsión de negocio'!G61*'Previsión de negocio'!G64)</f>
        <v>0</v>
      </c>
      <c r="H97" s="831">
        <f>IF($C$1&gt;I$1,0,'Previsión de negocio'!H61*'Previsión de negocio'!H64)</f>
        <v>0</v>
      </c>
      <c r="I97" s="831">
        <f>IF($C$1&gt;J$1,0,'Previsión de negocio'!I61*'Previsión de negocio'!I64)</f>
        <v>0</v>
      </c>
      <c r="J97" s="831">
        <f>IF($C$1&gt;K$1,0,'Previsión de negocio'!J61*'Previsión de negocio'!J64)</f>
        <v>0</v>
      </c>
      <c r="K97" s="831">
        <f>IF($C$1&gt;L$1,0,'Previsión de negocio'!K61*'Previsión de negocio'!K64)</f>
        <v>0</v>
      </c>
      <c r="L97" s="831">
        <f>IF($C$1&gt;M$1,0,'Previsión de negocio'!L61*'Previsión de negocio'!L64)</f>
        <v>0</v>
      </c>
      <c r="M97" s="831">
        <f>IF($C$1&gt;N$1,0,'Previsión de negocio'!M61*'Previsión de negocio'!M64)</f>
        <v>0</v>
      </c>
      <c r="N97" s="831">
        <f>IF($C$1&gt;O$1,0,'Previsión de negocio'!N61*'Previsión de negocio'!N64)</f>
        <v>0</v>
      </c>
      <c r="O97" s="831">
        <f>IF($C$1&gt;P$1,0,'Previsión de negocio'!O61*'Previsión de negocio'!O64)</f>
        <v>0</v>
      </c>
      <c r="P97" s="457">
        <f t="shared" si="33"/>
        <v>0</v>
      </c>
    </row>
    <row r="98" spans="2:16" x14ac:dyDescent="0.2">
      <c r="B98" s="947">
        <f t="shared" si="32"/>
        <v>0</v>
      </c>
      <c r="C98" s="1119"/>
      <c r="D98" s="831">
        <f>IF($C$1&gt;E$1,0,'Previsión de negocio'!D67*'Previsión de negocio'!D70)</f>
        <v>0</v>
      </c>
      <c r="E98" s="831">
        <f>IF($C$1&gt;F$1,0,'Previsión de negocio'!E67*'Previsión de negocio'!E70)</f>
        <v>0</v>
      </c>
      <c r="F98" s="831">
        <f>IF($C$1&gt;G$1,0,'Previsión de negocio'!F67*'Previsión de negocio'!F70)</f>
        <v>0</v>
      </c>
      <c r="G98" s="831">
        <f>IF($C$1&gt;H$1,0,'Previsión de negocio'!G67*'Previsión de negocio'!G70)</f>
        <v>0</v>
      </c>
      <c r="H98" s="831">
        <f>IF($C$1&gt;I$1,0,'Previsión de negocio'!H67*'Previsión de negocio'!H70)</f>
        <v>0</v>
      </c>
      <c r="I98" s="831">
        <f>IF($C$1&gt;J$1,0,'Previsión de negocio'!I67*'Previsión de negocio'!I70)</f>
        <v>0</v>
      </c>
      <c r="J98" s="831">
        <f>IF($C$1&gt;K$1,0,'Previsión de negocio'!J67*'Previsión de negocio'!J70)</f>
        <v>0</v>
      </c>
      <c r="K98" s="831">
        <f>IF($C$1&gt;L$1,0,'Previsión de negocio'!K67*'Previsión de negocio'!K70)</f>
        <v>0</v>
      </c>
      <c r="L98" s="831">
        <f>IF($C$1&gt;M$1,0,'Previsión de negocio'!L67*'Previsión de negocio'!L70)</f>
        <v>0</v>
      </c>
      <c r="M98" s="831">
        <f>IF($C$1&gt;N$1,0,'Previsión de negocio'!M67*'Previsión de negocio'!M70)</f>
        <v>0</v>
      </c>
      <c r="N98" s="831">
        <f>IF($C$1&gt;O$1,0,'Previsión de negocio'!N67*'Previsión de negocio'!N70)</f>
        <v>0</v>
      </c>
      <c r="O98" s="831">
        <f>IF($C$1&gt;P$1,0,'Previsión de negocio'!O67*'Previsión de negocio'!O70)</f>
        <v>0</v>
      </c>
      <c r="P98" s="457">
        <f t="shared" si="33"/>
        <v>0</v>
      </c>
    </row>
    <row r="99" spans="2:16" x14ac:dyDescent="0.2">
      <c r="B99" s="947">
        <f t="shared" si="32"/>
        <v>0</v>
      </c>
      <c r="C99" s="1119"/>
      <c r="D99" s="831">
        <f>IF($C$1&gt;E$1,0,'Previsión de negocio'!D73*'Previsión de negocio'!D76)</f>
        <v>0</v>
      </c>
      <c r="E99" s="831">
        <f>IF($C$1&gt;F$1,0,'Previsión de negocio'!E73*'Previsión de negocio'!E76)</f>
        <v>0</v>
      </c>
      <c r="F99" s="831">
        <f>IF($C$1&gt;G$1,0,'Previsión de negocio'!F73*'Previsión de negocio'!F76)</f>
        <v>0</v>
      </c>
      <c r="G99" s="831">
        <f>IF($C$1&gt;H$1,0,'Previsión de negocio'!G73*'Previsión de negocio'!G76)</f>
        <v>0</v>
      </c>
      <c r="H99" s="831">
        <f>IF($C$1&gt;I$1,0,'Previsión de negocio'!H73*'Previsión de negocio'!H76)</f>
        <v>0</v>
      </c>
      <c r="I99" s="831">
        <f>IF($C$1&gt;J$1,0,'Previsión de negocio'!I73*'Previsión de negocio'!I76)</f>
        <v>0</v>
      </c>
      <c r="J99" s="831">
        <f>IF($C$1&gt;K$1,0,'Previsión de negocio'!J73*'Previsión de negocio'!J76)</f>
        <v>0</v>
      </c>
      <c r="K99" s="831">
        <f>IF($C$1&gt;L$1,0,'Previsión de negocio'!K73*'Previsión de negocio'!K76)</f>
        <v>0</v>
      </c>
      <c r="L99" s="831">
        <f>IF($C$1&gt;M$1,0,'Previsión de negocio'!L73*'Previsión de negocio'!L76)</f>
        <v>0</v>
      </c>
      <c r="M99" s="831">
        <f>IF($C$1&gt;N$1,0,'Previsión de negocio'!M73*'Previsión de negocio'!M76)</f>
        <v>0</v>
      </c>
      <c r="N99" s="831">
        <f>IF($C$1&gt;O$1,0,'Previsión de negocio'!N73*'Previsión de negocio'!N76)</f>
        <v>0</v>
      </c>
      <c r="O99" s="831">
        <f>IF($C$1&gt;P$1,0,'Previsión de negocio'!O73*'Previsión de negocio'!O76)</f>
        <v>0</v>
      </c>
      <c r="P99" s="457">
        <f t="shared" si="33"/>
        <v>0</v>
      </c>
    </row>
    <row r="100" spans="2:16" x14ac:dyDescent="0.2">
      <c r="B100" s="947">
        <f t="shared" si="32"/>
        <v>0</v>
      </c>
      <c r="C100" s="1119"/>
      <c r="D100" s="831">
        <f>IF($C$1&gt;E$1,0,'Previsión de negocio'!D79*'Previsión de negocio'!D82)</f>
        <v>0</v>
      </c>
      <c r="E100" s="831">
        <f>IF($C$1&gt;F$1,0,'Previsión de negocio'!E79*'Previsión de negocio'!E82)</f>
        <v>0</v>
      </c>
      <c r="F100" s="831">
        <f>IF($C$1&gt;G$1,0,'Previsión de negocio'!F79*'Previsión de negocio'!F82)</f>
        <v>0</v>
      </c>
      <c r="G100" s="831">
        <f>IF($C$1&gt;H$1,0,'Previsión de negocio'!G79*'Previsión de negocio'!G82)</f>
        <v>0</v>
      </c>
      <c r="H100" s="831">
        <f>IF($C$1&gt;I$1,0,'Previsión de negocio'!H79*'Previsión de negocio'!H82)</f>
        <v>0</v>
      </c>
      <c r="I100" s="831">
        <f>IF($C$1&gt;J$1,0,'Previsión de negocio'!I79*'Previsión de negocio'!I82)</f>
        <v>0</v>
      </c>
      <c r="J100" s="831">
        <f>IF($C$1&gt;K$1,0,'Previsión de negocio'!J79*'Previsión de negocio'!J82)</f>
        <v>0</v>
      </c>
      <c r="K100" s="831">
        <f>IF($C$1&gt;L$1,0,'Previsión de negocio'!K79*'Previsión de negocio'!K82)</f>
        <v>0</v>
      </c>
      <c r="L100" s="831">
        <f>IF($C$1&gt;M$1,0,'Previsión de negocio'!L79*'Previsión de negocio'!L82)</f>
        <v>0</v>
      </c>
      <c r="M100" s="831">
        <f>IF($C$1&gt;N$1,0,'Previsión de negocio'!M79*'Previsión de negocio'!M82)</f>
        <v>0</v>
      </c>
      <c r="N100" s="831">
        <f>IF($C$1&gt;O$1,0,'Previsión de negocio'!N79*'Previsión de negocio'!N82)</f>
        <v>0</v>
      </c>
      <c r="O100" s="831">
        <f>IF($C$1&gt;P$1,0,'Previsión de negocio'!O79*'Previsión de negocio'!O82)</f>
        <v>0</v>
      </c>
      <c r="P100" s="457">
        <f t="shared" si="33"/>
        <v>0</v>
      </c>
    </row>
    <row r="101" spans="2:16" x14ac:dyDescent="0.2">
      <c r="B101" s="947">
        <f t="shared" si="32"/>
        <v>0</v>
      </c>
      <c r="C101" s="1119"/>
      <c r="D101" s="831">
        <f>IF($C$1&gt;E$1,0,'Previsión de negocio'!D85*'Previsión de negocio'!D88)</f>
        <v>0</v>
      </c>
      <c r="E101" s="831">
        <f>IF($C$1&gt;F$1,0,'Previsión de negocio'!E85*'Previsión de negocio'!E88)</f>
        <v>0</v>
      </c>
      <c r="F101" s="831">
        <f>IF($C$1&gt;G$1,0,'Previsión de negocio'!F85*'Previsión de negocio'!F88)</f>
        <v>0</v>
      </c>
      <c r="G101" s="831">
        <f>IF($C$1&gt;H$1,0,'Previsión de negocio'!G85*'Previsión de negocio'!G88)</f>
        <v>0</v>
      </c>
      <c r="H101" s="831">
        <f>IF($C$1&gt;I$1,0,'Previsión de negocio'!H85*'Previsión de negocio'!H88)</f>
        <v>0</v>
      </c>
      <c r="I101" s="831">
        <f>IF($C$1&gt;J$1,0,'Previsión de negocio'!I85*'Previsión de negocio'!I88)</f>
        <v>0</v>
      </c>
      <c r="J101" s="831">
        <f>IF($C$1&gt;K$1,0,'Previsión de negocio'!J85*'Previsión de negocio'!J88)</f>
        <v>0</v>
      </c>
      <c r="K101" s="831">
        <f>IF($C$1&gt;L$1,0,'Previsión de negocio'!K85*'Previsión de negocio'!K88)</f>
        <v>0</v>
      </c>
      <c r="L101" s="831">
        <f>IF($C$1&gt;M$1,0,'Previsión de negocio'!L85*'Previsión de negocio'!L88)</f>
        <v>0</v>
      </c>
      <c r="M101" s="831">
        <f>IF($C$1&gt;N$1,0,'Previsión de negocio'!M85*'Previsión de negocio'!M88)</f>
        <v>0</v>
      </c>
      <c r="N101" s="831">
        <f>IF($C$1&gt;O$1,0,'Previsión de negocio'!N85*'Previsión de negocio'!N88)</f>
        <v>0</v>
      </c>
      <c r="O101" s="831">
        <f>IF($C$1&gt;P$1,0,'Previsión de negocio'!O85*'Previsión de negocio'!O88)</f>
        <v>0</v>
      </c>
      <c r="P101" s="457">
        <f t="shared" si="33"/>
        <v>0</v>
      </c>
    </row>
    <row r="102" spans="2:16" s="1" customFormat="1" x14ac:dyDescent="0.2">
      <c r="B102" s="850" t="str">
        <f t="shared" si="32"/>
        <v>Total</v>
      </c>
      <c r="C102" s="1120"/>
      <c r="D102" s="935">
        <f>SUM(D92:D101)</f>
        <v>0</v>
      </c>
      <c r="E102" s="295">
        <f t="shared" ref="E102:O102" si="34">SUM(E92:E101)</f>
        <v>0</v>
      </c>
      <c r="F102" s="295">
        <f t="shared" si="34"/>
        <v>0</v>
      </c>
      <c r="G102" s="295">
        <f t="shared" si="34"/>
        <v>0</v>
      </c>
      <c r="H102" s="295">
        <f t="shared" si="34"/>
        <v>0</v>
      </c>
      <c r="I102" s="295">
        <f t="shared" si="34"/>
        <v>0</v>
      </c>
      <c r="J102" s="295">
        <f t="shared" si="34"/>
        <v>0</v>
      </c>
      <c r="K102" s="295">
        <f t="shared" si="34"/>
        <v>0</v>
      </c>
      <c r="L102" s="295">
        <f t="shared" si="34"/>
        <v>0</v>
      </c>
      <c r="M102" s="295">
        <f t="shared" si="34"/>
        <v>0</v>
      </c>
      <c r="N102" s="295">
        <f t="shared" si="34"/>
        <v>0</v>
      </c>
      <c r="O102" s="639">
        <f t="shared" si="34"/>
        <v>0</v>
      </c>
      <c r="P102" s="457">
        <f t="shared" si="33"/>
        <v>0</v>
      </c>
    </row>
    <row r="103" spans="2:16" x14ac:dyDescent="0.2">
      <c r="B103" s="956" t="str">
        <f t="shared" si="32"/>
        <v>IVA</v>
      </c>
      <c r="C103" s="848"/>
      <c r="D103" s="500">
        <f>IF('Datos generales'!$D$22&lt;=0,'Datos generales'!$D$16*D102,0)</f>
        <v>0</v>
      </c>
      <c r="E103" s="289">
        <f>IF('Datos generales'!$D$22&lt;=0,'Datos generales'!$D$16*E102,0)</f>
        <v>0</v>
      </c>
      <c r="F103" s="289">
        <f>IF('Datos generales'!$D$22&lt;=0,'Datos generales'!$D$16*F102,0)</f>
        <v>0</v>
      </c>
      <c r="G103" s="289">
        <f>IF('Datos generales'!$D$22&lt;=0,'Datos generales'!$D$16*G102,0)</f>
        <v>0</v>
      </c>
      <c r="H103" s="289">
        <f>IF('Datos generales'!$D$22&lt;=0,'Datos generales'!$D$16*H102,0)</f>
        <v>0</v>
      </c>
      <c r="I103" s="289">
        <f>IF('Datos generales'!$D$22&lt;=0,'Datos generales'!$D$16*I102,0)</f>
        <v>0</v>
      </c>
      <c r="J103" s="289">
        <f>IF('Datos generales'!$D$22&lt;=0,'Datos generales'!$D$16*J102,0)</f>
        <v>0</v>
      </c>
      <c r="K103" s="289">
        <f>IF('Datos generales'!$D$22&lt;=0,'Datos generales'!$D$16*K102,0)</f>
        <v>0</v>
      </c>
      <c r="L103" s="289">
        <f>IF('Datos generales'!$D$22&lt;=0,'Datos generales'!$D$16*L102,0)</f>
        <v>0</v>
      </c>
      <c r="M103" s="289">
        <f>IF('Datos generales'!$D$22&lt;=0,'Datos generales'!$D$16*M102,0)</f>
        <v>0</v>
      </c>
      <c r="N103" s="289">
        <f>IF('Datos generales'!$D$22&lt;=0,'Datos generales'!$D$16*N102,0)</f>
        <v>0</v>
      </c>
      <c r="O103" s="501">
        <f>IF('Datos generales'!$D$22&lt;=0,'Datos generales'!$D$16*O102,0)</f>
        <v>0</v>
      </c>
      <c r="P103" s="457">
        <f t="shared" si="33"/>
        <v>0</v>
      </c>
    </row>
    <row r="104" spans="2:16" x14ac:dyDescent="0.2">
      <c r="B104" s="430" t="s">
        <v>724</v>
      </c>
      <c r="C104" s="201"/>
      <c r="D104" s="377">
        <f>D102+D103</f>
        <v>0</v>
      </c>
      <c r="E104" s="201">
        <f t="shared" ref="E104:O104" si="35">E102+E103</f>
        <v>0</v>
      </c>
      <c r="F104" s="201">
        <f t="shared" si="35"/>
        <v>0</v>
      </c>
      <c r="G104" s="201">
        <f t="shared" si="35"/>
        <v>0</v>
      </c>
      <c r="H104" s="201">
        <f t="shared" si="35"/>
        <v>0</v>
      </c>
      <c r="I104" s="201">
        <f t="shared" si="35"/>
        <v>0</v>
      </c>
      <c r="J104" s="201">
        <f t="shared" si="35"/>
        <v>0</v>
      </c>
      <c r="K104" s="201">
        <f t="shared" si="35"/>
        <v>0</v>
      </c>
      <c r="L104" s="201">
        <f t="shared" si="35"/>
        <v>0</v>
      </c>
      <c r="M104" s="201">
        <f t="shared" si="35"/>
        <v>0</v>
      </c>
      <c r="N104" s="201">
        <f t="shared" si="35"/>
        <v>0</v>
      </c>
      <c r="O104" s="348">
        <f t="shared" si="35"/>
        <v>0</v>
      </c>
      <c r="P104" s="371">
        <f t="shared" si="33"/>
        <v>0</v>
      </c>
    </row>
    <row r="105" spans="2:16" ht="25.5" customHeight="1" x14ac:dyDescent="0.2">
      <c r="B105" s="1462" t="s">
        <v>725</v>
      </c>
      <c r="C105" s="1463"/>
      <c r="D105" s="971"/>
      <c r="E105" s="61"/>
      <c r="F105" s="61"/>
      <c r="G105" s="61"/>
      <c r="H105" s="61"/>
      <c r="I105" s="61"/>
      <c r="J105" s="61"/>
      <c r="K105" s="61"/>
      <c r="L105" s="61"/>
      <c r="M105" s="61"/>
      <c r="N105" s="61"/>
      <c r="O105" s="849"/>
      <c r="P105" s="851"/>
    </row>
    <row r="106" spans="2:16" x14ac:dyDescent="0.2">
      <c r="B106" s="947" t="str">
        <f>B13</f>
        <v>Producto o servicio 1</v>
      </c>
      <c r="C106" s="849"/>
      <c r="D106" s="831">
        <f>IF($C$1&gt;E1,0,'Previsión de negocio'!D35)</f>
        <v>0</v>
      </c>
      <c r="E106" s="831">
        <f>IF($C$1&gt;F1,0,'Previsión de negocio'!E35)</f>
        <v>0</v>
      </c>
      <c r="F106" s="831">
        <f>IF($C$1&gt;G1,0,'Previsión de negocio'!F35)</f>
        <v>0</v>
      </c>
      <c r="G106" s="831">
        <f>IF($C$1&gt;H1,0,'Previsión de negocio'!G35)</f>
        <v>0</v>
      </c>
      <c r="H106" s="831">
        <f>IF($C$1&gt;I1,0,'Previsión de negocio'!H35)</f>
        <v>0</v>
      </c>
      <c r="I106" s="831">
        <f>IF($C$1&gt;J1,0,'Previsión de negocio'!I35)</f>
        <v>0</v>
      </c>
      <c r="J106" s="831">
        <f>IF($C$1&gt;K1,0,'Previsión de negocio'!J35)</f>
        <v>0</v>
      </c>
      <c r="K106" s="831">
        <f>IF($C$1&gt;L1,0,'Previsión de negocio'!K35)</f>
        <v>0</v>
      </c>
      <c r="L106" s="831">
        <f>IF($C$1&gt;M1,0,'Previsión de negocio'!L35)</f>
        <v>0</v>
      </c>
      <c r="M106" s="831">
        <f>IF($C$1&gt;N1,0,'Previsión de negocio'!M35)</f>
        <v>0</v>
      </c>
      <c r="N106" s="831">
        <f>IF($C$1&gt;O1,0,'Previsión de negocio'!N35)</f>
        <v>0</v>
      </c>
      <c r="O106" s="831">
        <f>IF($C$1&gt;P1,0,'Previsión de negocio'!O35)</f>
        <v>0</v>
      </c>
      <c r="P106" s="847">
        <f t="shared" ref="P106:P118" si="36">SUM(D106:O106)</f>
        <v>0</v>
      </c>
    </row>
    <row r="107" spans="2:16" x14ac:dyDescent="0.2">
      <c r="B107" s="947" t="str">
        <f t="shared" ref="B107:B117" si="37">B14</f>
        <v>Producto o servicio 2</v>
      </c>
      <c r="C107" s="849"/>
      <c r="D107" s="831">
        <f>IF($C$1&gt;E1,0,'Previsión de negocio'!D41)</f>
        <v>0</v>
      </c>
      <c r="E107" s="831">
        <f>IF($C$1&gt;F1,0,'Previsión de negocio'!E41)</f>
        <v>0</v>
      </c>
      <c r="F107" s="831">
        <f>IF($C$1&gt;G1,0,'Previsión de negocio'!F41)</f>
        <v>0</v>
      </c>
      <c r="G107" s="831">
        <f>IF($C$1&gt;H1,0,'Previsión de negocio'!G41)</f>
        <v>0</v>
      </c>
      <c r="H107" s="831">
        <f>IF($C$1&gt;I1,0,'Previsión de negocio'!H41)</f>
        <v>0</v>
      </c>
      <c r="I107" s="831">
        <f>IF($C$1&gt;J1,0,'Previsión de negocio'!I41)</f>
        <v>0</v>
      </c>
      <c r="J107" s="831">
        <f>IF($C$1&gt;K1,0,'Previsión de negocio'!J41)</f>
        <v>0</v>
      </c>
      <c r="K107" s="831">
        <f>IF($C$1&gt;L1,0,'Previsión de negocio'!K41)</f>
        <v>0</v>
      </c>
      <c r="L107" s="831">
        <f>IF($C$1&gt;M1,0,'Previsión de negocio'!L41)</f>
        <v>0</v>
      </c>
      <c r="M107" s="831">
        <f>IF($C$1&gt;N1,0,'Previsión de negocio'!M41)</f>
        <v>0</v>
      </c>
      <c r="N107" s="831">
        <f>IF($C$1&gt;O1,0,'Previsión de negocio'!N41)</f>
        <v>0</v>
      </c>
      <c r="O107" s="831">
        <f>IF($C$1&gt;P1,0,'Previsión de negocio'!O41)</f>
        <v>0</v>
      </c>
      <c r="P107" s="847">
        <f t="shared" si="36"/>
        <v>0</v>
      </c>
    </row>
    <row r="108" spans="2:16" x14ac:dyDescent="0.2">
      <c r="B108" s="947" t="str">
        <f t="shared" si="37"/>
        <v>Producto o servicio 3</v>
      </c>
      <c r="C108" s="849"/>
      <c r="D108" s="831">
        <f>IF($C$1&gt;E1,0,'Previsión de negocio'!D47)</f>
        <v>0</v>
      </c>
      <c r="E108" s="831">
        <f>IF($C$1&gt;F1,0,'Previsión de negocio'!E47)</f>
        <v>0</v>
      </c>
      <c r="F108" s="831">
        <f>IF($C$1&gt;G1,0,'Previsión de negocio'!F47)</f>
        <v>0</v>
      </c>
      <c r="G108" s="831">
        <f>IF($C$1&gt;H1,0,'Previsión de negocio'!G47)</f>
        <v>0</v>
      </c>
      <c r="H108" s="831">
        <f>IF($C$1&gt;I1,0,'Previsión de negocio'!H47)</f>
        <v>0</v>
      </c>
      <c r="I108" s="831">
        <f>IF($C$1&gt;J1,0,'Previsión de negocio'!I47)</f>
        <v>0</v>
      </c>
      <c r="J108" s="831">
        <f>IF($C$1&gt;K1,0,'Previsión de negocio'!J47)</f>
        <v>0</v>
      </c>
      <c r="K108" s="831">
        <f>IF($C$1&gt;L1,0,'Previsión de negocio'!K47)</f>
        <v>0</v>
      </c>
      <c r="L108" s="831">
        <f>IF($C$1&gt;M1,0,'Previsión de negocio'!L47)</f>
        <v>0</v>
      </c>
      <c r="M108" s="831">
        <f>IF($C$1&gt;N1,0,'Previsión de negocio'!M47)</f>
        <v>0</v>
      </c>
      <c r="N108" s="831">
        <f>IF($C$1&gt;O1,0,'Previsión de negocio'!N47)</f>
        <v>0</v>
      </c>
      <c r="O108" s="831">
        <f>IF($C$1&gt;P1,0,'Previsión de negocio'!O47)</f>
        <v>0</v>
      </c>
      <c r="P108" s="847">
        <f t="shared" si="36"/>
        <v>0</v>
      </c>
    </row>
    <row r="109" spans="2:16" x14ac:dyDescent="0.2">
      <c r="B109" s="947">
        <f t="shared" si="37"/>
        <v>0</v>
      </c>
      <c r="C109" s="849"/>
      <c r="D109" s="831">
        <f>IF($C$1&gt;E1,0,'Previsión de negocio'!D53)</f>
        <v>0</v>
      </c>
      <c r="E109" s="831">
        <f>IF($C$1&gt;F1,0,'Previsión de negocio'!E53)</f>
        <v>0</v>
      </c>
      <c r="F109" s="831">
        <f>IF($C$1&gt;G1,0,'Previsión de negocio'!F53)</f>
        <v>0</v>
      </c>
      <c r="G109" s="831">
        <f>IF($C$1&gt;H1,0,'Previsión de negocio'!G53)</f>
        <v>0</v>
      </c>
      <c r="H109" s="831">
        <f>IF($C$1&gt;I1,0,'Previsión de negocio'!H53)</f>
        <v>0</v>
      </c>
      <c r="I109" s="831">
        <f>IF($C$1&gt;J1,0,'Previsión de negocio'!I53)</f>
        <v>0</v>
      </c>
      <c r="J109" s="831">
        <f>IF($C$1&gt;K1,0,'Previsión de negocio'!J53)</f>
        <v>0</v>
      </c>
      <c r="K109" s="831">
        <f>IF($C$1&gt;L1,0,'Previsión de negocio'!K53)</f>
        <v>0</v>
      </c>
      <c r="L109" s="831">
        <f>IF($C$1&gt;M1,0,'Previsión de negocio'!L53)</f>
        <v>0</v>
      </c>
      <c r="M109" s="831">
        <f>IF($C$1&gt;N1,0,'Previsión de negocio'!M53)</f>
        <v>0</v>
      </c>
      <c r="N109" s="831">
        <f>IF($C$1&gt;O1,0,'Previsión de negocio'!N53)</f>
        <v>0</v>
      </c>
      <c r="O109" s="831">
        <f>IF($C$1&gt;P1,0,'Previsión de negocio'!O53)</f>
        <v>0</v>
      </c>
      <c r="P109" s="847">
        <f t="shared" si="36"/>
        <v>0</v>
      </c>
    </row>
    <row r="110" spans="2:16" x14ac:dyDescent="0.2">
      <c r="B110" s="947">
        <f t="shared" si="37"/>
        <v>0</v>
      </c>
      <c r="C110" s="849"/>
      <c r="D110" s="831">
        <f>IF($C$1&gt;E1,0,'Previsión de negocio'!D59)</f>
        <v>0</v>
      </c>
      <c r="E110" s="831">
        <f>IF($C$1&gt;F1,0,'Previsión de negocio'!E59)</f>
        <v>0</v>
      </c>
      <c r="F110" s="831">
        <f>IF($C$1&gt;G1,0,'Previsión de negocio'!F59)</f>
        <v>0</v>
      </c>
      <c r="G110" s="831">
        <f>IF($C$1&gt;H1,0,'Previsión de negocio'!G59)</f>
        <v>0</v>
      </c>
      <c r="H110" s="831">
        <f>IF($C$1&gt;I1,0,'Previsión de negocio'!H59)</f>
        <v>0</v>
      </c>
      <c r="I110" s="831">
        <f>IF($C$1&gt;J1,0,'Previsión de negocio'!I59)</f>
        <v>0</v>
      </c>
      <c r="J110" s="831">
        <f>IF($C$1&gt;K1,0,'Previsión de negocio'!J59)</f>
        <v>0</v>
      </c>
      <c r="K110" s="831">
        <f>IF($C$1&gt;L1,0,'Previsión de negocio'!K59)</f>
        <v>0</v>
      </c>
      <c r="L110" s="831">
        <f>IF($C$1&gt;M1,0,'Previsión de negocio'!L59)</f>
        <v>0</v>
      </c>
      <c r="M110" s="831">
        <f>IF($C$1&gt;N1,0,'Previsión de negocio'!M59)</f>
        <v>0</v>
      </c>
      <c r="N110" s="831">
        <f>IF($C$1&gt;O1,0,'Previsión de negocio'!N59)</f>
        <v>0</v>
      </c>
      <c r="O110" s="831">
        <f>IF($C$1&gt;P1,0,'Previsión de negocio'!O59)</f>
        <v>0</v>
      </c>
      <c r="P110" s="847">
        <f t="shared" si="36"/>
        <v>0</v>
      </c>
    </row>
    <row r="111" spans="2:16" x14ac:dyDescent="0.2">
      <c r="B111" s="947">
        <f t="shared" si="37"/>
        <v>0</v>
      </c>
      <c r="C111" s="849"/>
      <c r="D111" s="831">
        <f>IF($C$1&gt;E1,0,'Previsión de negocio'!D65)</f>
        <v>0</v>
      </c>
      <c r="E111" s="831">
        <f>IF($C$1&gt;F1,0,'Previsión de negocio'!E65)</f>
        <v>0</v>
      </c>
      <c r="F111" s="831">
        <f>IF($C$1&gt;G1,0,'Previsión de negocio'!F65)</f>
        <v>0</v>
      </c>
      <c r="G111" s="831">
        <f>IF($C$1&gt;H1,0,'Previsión de negocio'!G65)</f>
        <v>0</v>
      </c>
      <c r="H111" s="831">
        <f>IF($C$1&gt;I1,0,'Previsión de negocio'!H65)</f>
        <v>0</v>
      </c>
      <c r="I111" s="831">
        <f>IF($C$1&gt;J1,0,'Previsión de negocio'!I65)</f>
        <v>0</v>
      </c>
      <c r="J111" s="831">
        <f>IF($C$1&gt;K1,0,'Previsión de negocio'!J65)</f>
        <v>0</v>
      </c>
      <c r="K111" s="831">
        <f>IF($C$1&gt;L1,0,'Previsión de negocio'!K65)</f>
        <v>0</v>
      </c>
      <c r="L111" s="831">
        <f>IF($C$1&gt;M1,0,'Previsión de negocio'!L65)</f>
        <v>0</v>
      </c>
      <c r="M111" s="831">
        <f>IF($C$1&gt;N1,0,'Previsión de negocio'!M65)</f>
        <v>0</v>
      </c>
      <c r="N111" s="831">
        <f>IF($C$1&gt;O1,0,'Previsión de negocio'!N65)</f>
        <v>0</v>
      </c>
      <c r="O111" s="831">
        <f>IF($C$1&gt;P1,0,'Previsión de negocio'!O65)</f>
        <v>0</v>
      </c>
      <c r="P111" s="847">
        <f t="shared" si="36"/>
        <v>0</v>
      </c>
    </row>
    <row r="112" spans="2:16" x14ac:dyDescent="0.2">
      <c r="B112" s="947">
        <f t="shared" si="37"/>
        <v>0</v>
      </c>
      <c r="C112" s="849"/>
      <c r="D112" s="831">
        <f>IF($C$1&gt;E1,0,'Previsión de negocio'!D71)</f>
        <v>0</v>
      </c>
      <c r="E112" s="831">
        <f>IF($C$1&gt;F1,0,'Previsión de negocio'!E71)</f>
        <v>0</v>
      </c>
      <c r="F112" s="831">
        <f>IF($C$1&gt;G1,0,'Previsión de negocio'!F71)</f>
        <v>0</v>
      </c>
      <c r="G112" s="831">
        <f>IF($C$1&gt;H1,0,'Previsión de negocio'!G71)</f>
        <v>0</v>
      </c>
      <c r="H112" s="831">
        <f>IF($C$1&gt;I1,0,'Previsión de negocio'!H71)</f>
        <v>0</v>
      </c>
      <c r="I112" s="831">
        <f>IF($C$1&gt;J1,0,'Previsión de negocio'!I71)</f>
        <v>0</v>
      </c>
      <c r="J112" s="831">
        <f>IF($C$1&gt;K1,0,'Previsión de negocio'!J71)</f>
        <v>0</v>
      </c>
      <c r="K112" s="831">
        <f>IF($C$1&gt;L1,0,'Previsión de negocio'!K71)</f>
        <v>0</v>
      </c>
      <c r="L112" s="831">
        <f>IF($C$1&gt;M1,0,'Previsión de negocio'!L71)</f>
        <v>0</v>
      </c>
      <c r="M112" s="831">
        <f>IF($C$1&gt;N1,0,'Previsión de negocio'!M71)</f>
        <v>0</v>
      </c>
      <c r="N112" s="831">
        <f>IF($C$1&gt;O1,0,'Previsión de negocio'!N71)</f>
        <v>0</v>
      </c>
      <c r="O112" s="831">
        <f>IF($C$1&gt;P1,0,'Previsión de negocio'!O71)</f>
        <v>0</v>
      </c>
      <c r="P112" s="847">
        <f t="shared" si="36"/>
        <v>0</v>
      </c>
    </row>
    <row r="113" spans="2:17" x14ac:dyDescent="0.2">
      <c r="B113" s="947">
        <f t="shared" si="37"/>
        <v>0</v>
      </c>
      <c r="C113" s="849"/>
      <c r="D113" s="831">
        <f>IF($C$1&gt;E1,0,'Previsión de negocio'!D77)</f>
        <v>0</v>
      </c>
      <c r="E113" s="831">
        <f>IF($C$1&gt;F1,0,'Previsión de negocio'!E77)</f>
        <v>0</v>
      </c>
      <c r="F113" s="831">
        <f>IF($C$1&gt;G1,0,'Previsión de negocio'!F77)</f>
        <v>0</v>
      </c>
      <c r="G113" s="831">
        <f>IF($C$1&gt;H1,0,'Previsión de negocio'!G77)</f>
        <v>0</v>
      </c>
      <c r="H113" s="831">
        <f>IF($C$1&gt;I1,0,'Previsión de negocio'!H77)</f>
        <v>0</v>
      </c>
      <c r="I113" s="831">
        <f>IF($C$1&gt;J1,0,'Previsión de negocio'!I77)</f>
        <v>0</v>
      </c>
      <c r="J113" s="831">
        <f>IF($C$1&gt;K1,0,'Previsión de negocio'!J77)</f>
        <v>0</v>
      </c>
      <c r="K113" s="831">
        <f>IF($C$1&gt;L1,0,'Previsión de negocio'!K77)</f>
        <v>0</v>
      </c>
      <c r="L113" s="831">
        <f>IF($C$1&gt;M1,0,'Previsión de negocio'!L77)</f>
        <v>0</v>
      </c>
      <c r="M113" s="831">
        <f>IF($C$1&gt;N1,0,'Previsión de negocio'!M77)</f>
        <v>0</v>
      </c>
      <c r="N113" s="831">
        <f>IF($C$1&gt;O1,0,'Previsión de negocio'!N77)</f>
        <v>0</v>
      </c>
      <c r="O113" s="831">
        <f>IF($C$1&gt;P1,0,'Previsión de negocio'!O77)</f>
        <v>0</v>
      </c>
      <c r="P113" s="847">
        <f t="shared" si="36"/>
        <v>0</v>
      </c>
    </row>
    <row r="114" spans="2:17" x14ac:dyDescent="0.2">
      <c r="B114" s="947">
        <f t="shared" si="37"/>
        <v>0</v>
      </c>
      <c r="C114" s="849"/>
      <c r="D114" s="831">
        <f>IF($C$1&gt;E1,0,'Previsión de negocio'!D83)</f>
        <v>0</v>
      </c>
      <c r="E114" s="831">
        <f>IF($C$1&gt;F1,0,'Previsión de negocio'!E83)</f>
        <v>0</v>
      </c>
      <c r="F114" s="831">
        <f>IF($C$1&gt;G1,0,'Previsión de negocio'!F83)</f>
        <v>0</v>
      </c>
      <c r="G114" s="831">
        <f>IF($C$1&gt;H1,0,'Previsión de negocio'!G83)</f>
        <v>0</v>
      </c>
      <c r="H114" s="831">
        <f>IF($C$1&gt;I1,0,'Previsión de negocio'!H83)</f>
        <v>0</v>
      </c>
      <c r="I114" s="831">
        <f>IF($C$1&gt;J1,0,'Previsión de negocio'!I83)</f>
        <v>0</v>
      </c>
      <c r="J114" s="831">
        <f>IF($C$1&gt;K1,0,'Previsión de negocio'!J83)</f>
        <v>0</v>
      </c>
      <c r="K114" s="831">
        <f>IF($C$1&gt;L1,0,'Previsión de negocio'!K83)</f>
        <v>0</v>
      </c>
      <c r="L114" s="831">
        <f>IF($C$1&gt;M1,0,'Previsión de negocio'!L83)</f>
        <v>0</v>
      </c>
      <c r="M114" s="831">
        <f>IF($C$1&gt;N1,0,'Previsión de negocio'!M83)</f>
        <v>0</v>
      </c>
      <c r="N114" s="831">
        <f>IF($C$1&gt;O1,0,'Previsión de negocio'!N83)</f>
        <v>0</v>
      </c>
      <c r="O114" s="831">
        <f>IF($C$1&gt;P1,0,'Previsión de negocio'!O83)</f>
        <v>0</v>
      </c>
      <c r="P114" s="847">
        <f t="shared" si="36"/>
        <v>0</v>
      </c>
    </row>
    <row r="115" spans="2:17" x14ac:dyDescent="0.2">
      <c r="B115" s="947">
        <f t="shared" si="37"/>
        <v>0</v>
      </c>
      <c r="C115" s="849"/>
      <c r="D115" s="831">
        <f>IF($C$1&gt;E1,0,'Previsión de negocio'!D89)</f>
        <v>0</v>
      </c>
      <c r="E115" s="831">
        <f>IF($C$1&gt;F1,0,'Previsión de negocio'!E89)</f>
        <v>0</v>
      </c>
      <c r="F115" s="831">
        <f>IF($C$1&gt;G1,0,'Previsión de negocio'!F89)</f>
        <v>0</v>
      </c>
      <c r="G115" s="831">
        <f>IF($C$1&gt;H1,0,'Previsión de negocio'!G89)</f>
        <v>0</v>
      </c>
      <c r="H115" s="831">
        <f>IF($C$1&gt;I1,0,'Previsión de negocio'!H89)</f>
        <v>0</v>
      </c>
      <c r="I115" s="831">
        <f>IF($C$1&gt;J1,0,'Previsión de negocio'!I89)</f>
        <v>0</v>
      </c>
      <c r="J115" s="831">
        <f>IF($C$1&gt;K1,0,'Previsión de negocio'!J89)</f>
        <v>0</v>
      </c>
      <c r="K115" s="831">
        <f>IF($C$1&gt;L1,0,'Previsión de negocio'!K89)</f>
        <v>0</v>
      </c>
      <c r="L115" s="831">
        <f>IF($C$1&gt;M1,0,'Previsión de negocio'!L89)</f>
        <v>0</v>
      </c>
      <c r="M115" s="831">
        <f>IF($C$1&gt;N1,0,'Previsión de negocio'!M89)</f>
        <v>0</v>
      </c>
      <c r="N115" s="831">
        <f>IF($C$1&gt;O1,0,'Previsión de negocio'!N89)</f>
        <v>0</v>
      </c>
      <c r="O115" s="831">
        <f>IF($C$1&gt;P1,0,'Previsión de negocio'!O89)</f>
        <v>0</v>
      </c>
      <c r="P115" s="847">
        <f t="shared" si="36"/>
        <v>0</v>
      </c>
    </row>
    <row r="116" spans="2:17" x14ac:dyDescent="0.2">
      <c r="B116" s="850" t="str">
        <f t="shared" si="37"/>
        <v>Total</v>
      </c>
      <c r="C116" s="61"/>
      <c r="D116" s="935">
        <f t="shared" ref="D116:O116" si="38">SUM(D106:D115)</f>
        <v>0</v>
      </c>
      <c r="E116" s="295">
        <f t="shared" si="38"/>
        <v>0</v>
      </c>
      <c r="F116" s="295">
        <f t="shared" si="38"/>
        <v>0</v>
      </c>
      <c r="G116" s="295">
        <f t="shared" si="38"/>
        <v>0</v>
      </c>
      <c r="H116" s="295">
        <f t="shared" si="38"/>
        <v>0</v>
      </c>
      <c r="I116" s="295">
        <f t="shared" si="38"/>
        <v>0</v>
      </c>
      <c r="J116" s="295">
        <f t="shared" si="38"/>
        <v>0</v>
      </c>
      <c r="K116" s="295">
        <f t="shared" si="38"/>
        <v>0</v>
      </c>
      <c r="L116" s="295">
        <f t="shared" si="38"/>
        <v>0</v>
      </c>
      <c r="M116" s="295">
        <f t="shared" si="38"/>
        <v>0</v>
      </c>
      <c r="N116" s="295">
        <f t="shared" si="38"/>
        <v>0</v>
      </c>
      <c r="O116" s="639">
        <f t="shared" si="38"/>
        <v>0</v>
      </c>
      <c r="P116" s="457">
        <f t="shared" si="36"/>
        <v>0</v>
      </c>
      <c r="Q116" s="1"/>
    </row>
    <row r="117" spans="2:17" x14ac:dyDescent="0.2">
      <c r="B117" s="947" t="str">
        <f t="shared" si="37"/>
        <v>IVA</v>
      </c>
      <c r="C117" s="61"/>
      <c r="D117" s="500">
        <f>IF('Datos generales'!$D$22&lt;=0,'Datos generales'!$D$19*D116,0)</f>
        <v>0</v>
      </c>
      <c r="E117" s="500">
        <f>IF('Datos generales'!$D$22&lt;=0,'Datos generales'!$D$19*E116,0)</f>
        <v>0</v>
      </c>
      <c r="F117" s="500">
        <f>IF('Datos generales'!$D$22&lt;=0,'Datos generales'!$D$19*F116,0)</f>
        <v>0</v>
      </c>
      <c r="G117" s="500">
        <f>IF('Datos generales'!$D$22&lt;=0,'Datos generales'!$D$19*G116,0)</f>
        <v>0</v>
      </c>
      <c r="H117" s="500">
        <f>IF('Datos generales'!$D$22&lt;=0,'Datos generales'!$D$19*H116,0)</f>
        <v>0</v>
      </c>
      <c r="I117" s="500">
        <f>IF('Datos generales'!$D$22&lt;=0,'Datos generales'!$D$19*I116,0)</f>
        <v>0</v>
      </c>
      <c r="J117" s="500">
        <f>IF('Datos generales'!$D$22&lt;=0,'Datos generales'!$D$19*J116,0)</f>
        <v>0</v>
      </c>
      <c r="K117" s="500">
        <f>IF('Datos generales'!$D$22&lt;=0,'Datos generales'!$D$19*K116,0)</f>
        <v>0</v>
      </c>
      <c r="L117" s="500">
        <f>IF('Datos generales'!$D$22&lt;=0,'Datos generales'!$D$19*L116,0)</f>
        <v>0</v>
      </c>
      <c r="M117" s="500">
        <f>IF('Datos generales'!$D$22&lt;=0,'Datos generales'!$D$19*M116,0)</f>
        <v>0</v>
      </c>
      <c r="N117" s="500">
        <f>IF('Datos generales'!$D$22&lt;=0,'Datos generales'!$D$19*N116,0)</f>
        <v>0</v>
      </c>
      <c r="O117" s="500">
        <f>IF('Datos generales'!$D$22&lt;=0,'Datos generales'!$D$19*O116,0)</f>
        <v>0</v>
      </c>
      <c r="P117" s="457">
        <f t="shared" si="36"/>
        <v>0</v>
      </c>
    </row>
    <row r="118" spans="2:17" ht="25.5" customHeight="1" x14ac:dyDescent="0.2">
      <c r="B118" s="1464" t="s">
        <v>726</v>
      </c>
      <c r="C118" s="1465"/>
      <c r="D118" s="377">
        <f t="shared" ref="D118:O118" si="39">D116+D117</f>
        <v>0</v>
      </c>
      <c r="E118" s="201">
        <f t="shared" si="39"/>
        <v>0</v>
      </c>
      <c r="F118" s="201">
        <f t="shared" si="39"/>
        <v>0</v>
      </c>
      <c r="G118" s="201">
        <f t="shared" si="39"/>
        <v>0</v>
      </c>
      <c r="H118" s="201">
        <f t="shared" si="39"/>
        <v>0</v>
      </c>
      <c r="I118" s="201">
        <f t="shared" si="39"/>
        <v>0</v>
      </c>
      <c r="J118" s="201">
        <f t="shared" si="39"/>
        <v>0</v>
      </c>
      <c r="K118" s="201">
        <f t="shared" si="39"/>
        <v>0</v>
      </c>
      <c r="L118" s="201">
        <f t="shared" si="39"/>
        <v>0</v>
      </c>
      <c r="M118" s="201">
        <f t="shared" si="39"/>
        <v>0</v>
      </c>
      <c r="N118" s="201">
        <f t="shared" si="39"/>
        <v>0</v>
      </c>
      <c r="O118" s="348">
        <f t="shared" si="39"/>
        <v>0</v>
      </c>
      <c r="P118" s="371">
        <f t="shared" si="36"/>
        <v>0</v>
      </c>
    </row>
    <row r="119" spans="2:17" ht="25.5" customHeight="1" x14ac:dyDescent="0.2">
      <c r="B119" s="1460" t="s">
        <v>136</v>
      </c>
      <c r="C119" s="1461"/>
      <c r="D119" s="61"/>
      <c r="E119" s="61"/>
      <c r="F119" s="61"/>
      <c r="G119" s="61"/>
      <c r="H119" s="61"/>
      <c r="I119" s="61"/>
      <c r="J119" s="61"/>
      <c r="K119" s="61"/>
      <c r="L119" s="61"/>
      <c r="M119" s="61"/>
      <c r="N119" s="61"/>
      <c r="O119" s="849"/>
      <c r="P119" s="851"/>
    </row>
    <row r="120" spans="2:17" ht="15" customHeight="1" x14ac:dyDescent="0.2">
      <c r="B120" s="1121" t="str">
        <f t="shared" ref="B120:B128" si="40">B28</f>
        <v>Transporte</v>
      </c>
      <c r="C120" s="1122">
        <f>'Previsión de negocio'!D222</f>
        <v>0.05</v>
      </c>
      <c r="D120" s="846">
        <f>'Presupuesto de ventas'!D$60*$C120</f>
        <v>0</v>
      </c>
      <c r="E120" s="299">
        <f>'Presupuesto de ventas'!E$60*$C120</f>
        <v>0</v>
      </c>
      <c r="F120" s="299">
        <f>'Presupuesto de ventas'!F$60*$C120</f>
        <v>0</v>
      </c>
      <c r="G120" s="299">
        <f>'Presupuesto de ventas'!G$60*$C120</f>
        <v>0</v>
      </c>
      <c r="H120" s="299">
        <f>'Presupuesto de ventas'!H$60*$C120</f>
        <v>0</v>
      </c>
      <c r="I120" s="299">
        <f>'Presupuesto de ventas'!I$60*$C120</f>
        <v>0</v>
      </c>
      <c r="J120" s="299">
        <f>'Presupuesto de ventas'!J$60*$C120</f>
        <v>0</v>
      </c>
      <c r="K120" s="299">
        <f>'Presupuesto de ventas'!K$60*$C120</f>
        <v>0</v>
      </c>
      <c r="L120" s="299">
        <f>'Presupuesto de ventas'!L$60*$C120</f>
        <v>0</v>
      </c>
      <c r="M120" s="299">
        <f>'Presupuesto de ventas'!M$60*$C120</f>
        <v>0</v>
      </c>
      <c r="N120" s="299">
        <f>'Presupuesto de ventas'!N$60*$C120</f>
        <v>0</v>
      </c>
      <c r="O120" s="848">
        <f>'Presupuesto de ventas'!O$60*$C120</f>
        <v>0</v>
      </c>
      <c r="P120" s="847">
        <f t="shared" ref="P120:P128" si="41">SUM(D120:O120)</f>
        <v>0</v>
      </c>
    </row>
    <row r="121" spans="2:17" x14ac:dyDescent="0.2">
      <c r="B121" s="1121" t="str">
        <f t="shared" si="40"/>
        <v>Comisiones</v>
      </c>
      <c r="C121" s="1122">
        <f>'Previsión de negocio'!D223</f>
        <v>0</v>
      </c>
      <c r="D121" s="500">
        <f>'Presupuesto de ventas'!D$60*$C121</f>
        <v>0</v>
      </c>
      <c r="E121" s="289">
        <f>'Presupuesto de ventas'!E$60*$C121</f>
        <v>0</v>
      </c>
      <c r="F121" s="289">
        <f>'Presupuesto de ventas'!F$60*$C121</f>
        <v>0</v>
      </c>
      <c r="G121" s="289">
        <f>'Presupuesto de ventas'!G$60*$C121</f>
        <v>0</v>
      </c>
      <c r="H121" s="289">
        <f>'Presupuesto de ventas'!H$60*$C121</f>
        <v>0</v>
      </c>
      <c r="I121" s="289">
        <f>'Presupuesto de ventas'!I$60*$C121</f>
        <v>0</v>
      </c>
      <c r="J121" s="289">
        <f>'Presupuesto de ventas'!J$60*$C121</f>
        <v>0</v>
      </c>
      <c r="K121" s="289">
        <f>'Presupuesto de ventas'!K$60*$C121</f>
        <v>0</v>
      </c>
      <c r="L121" s="289">
        <f>'Presupuesto de ventas'!L$60*$C121</f>
        <v>0</v>
      </c>
      <c r="M121" s="289">
        <f>'Presupuesto de ventas'!M$60*$C121</f>
        <v>0</v>
      </c>
      <c r="N121" s="289">
        <f>'Presupuesto de ventas'!N$60*$C121</f>
        <v>0</v>
      </c>
      <c r="O121" s="501">
        <f>'Presupuesto de ventas'!O$60*$C121</f>
        <v>0</v>
      </c>
      <c r="P121" s="457">
        <f t="shared" si="41"/>
        <v>0</v>
      </c>
    </row>
    <row r="122" spans="2:17" x14ac:dyDescent="0.2">
      <c r="B122" s="1121" t="str">
        <f t="shared" si="40"/>
        <v>Embalajes</v>
      </c>
      <c r="C122" s="1122">
        <f>'Previsión de negocio'!D224</f>
        <v>0</v>
      </c>
      <c r="D122" s="500">
        <f>'Presupuesto de ventas'!D$60*$C122</f>
        <v>0</v>
      </c>
      <c r="E122" s="289">
        <f>'Presupuesto de ventas'!E$60*$C122</f>
        <v>0</v>
      </c>
      <c r="F122" s="289">
        <f>'Presupuesto de ventas'!F$60*$C122</f>
        <v>0</v>
      </c>
      <c r="G122" s="289">
        <f>'Presupuesto de ventas'!G$60*$C122</f>
        <v>0</v>
      </c>
      <c r="H122" s="289">
        <f>'Presupuesto de ventas'!H$60*$C122</f>
        <v>0</v>
      </c>
      <c r="I122" s="289">
        <f>'Presupuesto de ventas'!I$60*$C122</f>
        <v>0</v>
      </c>
      <c r="J122" s="289">
        <f>'Presupuesto de ventas'!J$60*$C122</f>
        <v>0</v>
      </c>
      <c r="K122" s="289">
        <f>'Presupuesto de ventas'!K$60*$C122</f>
        <v>0</v>
      </c>
      <c r="L122" s="289">
        <f>'Presupuesto de ventas'!L$60*$C122</f>
        <v>0</v>
      </c>
      <c r="M122" s="289">
        <f>'Presupuesto de ventas'!M$60*$C122</f>
        <v>0</v>
      </c>
      <c r="N122" s="289">
        <f>'Presupuesto de ventas'!N$60*$C122</f>
        <v>0</v>
      </c>
      <c r="O122" s="501">
        <f>'Presupuesto de ventas'!O$60*$C122</f>
        <v>0</v>
      </c>
      <c r="P122" s="457">
        <f t="shared" si="41"/>
        <v>0</v>
      </c>
    </row>
    <row r="123" spans="2:17" x14ac:dyDescent="0.2">
      <c r="B123" s="1121" t="str">
        <f t="shared" si="40"/>
        <v>Otros costes variables</v>
      </c>
      <c r="C123" s="1122">
        <f>'Previsión de negocio'!D225</f>
        <v>0</v>
      </c>
      <c r="D123" s="500">
        <f>'Presupuesto de ventas'!D$60*$C123</f>
        <v>0</v>
      </c>
      <c r="E123" s="289">
        <f>'Presupuesto de ventas'!E$60*$C123</f>
        <v>0</v>
      </c>
      <c r="F123" s="289">
        <f>'Presupuesto de ventas'!F$60*$C123</f>
        <v>0</v>
      </c>
      <c r="G123" s="289">
        <f>'Presupuesto de ventas'!G$60*$C123</f>
        <v>0</v>
      </c>
      <c r="H123" s="289">
        <f>'Presupuesto de ventas'!H$60*$C123</f>
        <v>0</v>
      </c>
      <c r="I123" s="289">
        <f>'Presupuesto de ventas'!I$60*$C123</f>
        <v>0</v>
      </c>
      <c r="J123" s="289">
        <f>'Presupuesto de ventas'!J$60*$C123</f>
        <v>0</v>
      </c>
      <c r="K123" s="289">
        <f>'Presupuesto de ventas'!K$60*$C123</f>
        <v>0</v>
      </c>
      <c r="L123" s="289">
        <f>'Presupuesto de ventas'!L$60*$C123</f>
        <v>0</v>
      </c>
      <c r="M123" s="289">
        <f>'Presupuesto de ventas'!M$60*$C123</f>
        <v>0</v>
      </c>
      <c r="N123" s="289">
        <f>'Presupuesto de ventas'!N$60*$C123</f>
        <v>0</v>
      </c>
      <c r="O123" s="501">
        <f>'Presupuesto de ventas'!O$60*$C123</f>
        <v>0</v>
      </c>
      <c r="P123" s="457">
        <f t="shared" si="41"/>
        <v>0</v>
      </c>
    </row>
    <row r="124" spans="2:17" x14ac:dyDescent="0.2">
      <c r="B124" s="1121">
        <f t="shared" si="40"/>
        <v>0</v>
      </c>
      <c r="C124" s="1122">
        <f>'Previsión de negocio'!D226</f>
        <v>0</v>
      </c>
      <c r="D124" s="500">
        <f>'Presupuesto de ventas'!D$60*$C124</f>
        <v>0</v>
      </c>
      <c r="E124" s="289">
        <f>'Presupuesto de ventas'!E$60*$C124</f>
        <v>0</v>
      </c>
      <c r="F124" s="289">
        <f>'Presupuesto de ventas'!F$60*$C124</f>
        <v>0</v>
      </c>
      <c r="G124" s="289">
        <f>'Presupuesto de ventas'!G$60*$C124</f>
        <v>0</v>
      </c>
      <c r="H124" s="289">
        <f>'Presupuesto de ventas'!H$60*$C124</f>
        <v>0</v>
      </c>
      <c r="I124" s="289">
        <f>'Presupuesto de ventas'!I$60*$C124</f>
        <v>0</v>
      </c>
      <c r="J124" s="289">
        <f>'Presupuesto de ventas'!J$60*$C124</f>
        <v>0</v>
      </c>
      <c r="K124" s="289">
        <f>'Presupuesto de ventas'!K$60*$C124</f>
        <v>0</v>
      </c>
      <c r="L124" s="289">
        <f>'Presupuesto de ventas'!L$60*$C124</f>
        <v>0</v>
      </c>
      <c r="M124" s="289">
        <f>'Presupuesto de ventas'!M$60*$C124</f>
        <v>0</v>
      </c>
      <c r="N124" s="289">
        <f>'Presupuesto de ventas'!N$60*$C124</f>
        <v>0</v>
      </c>
      <c r="O124" s="501">
        <f>'Presupuesto de ventas'!O$60*$C124</f>
        <v>0</v>
      </c>
      <c r="P124" s="457">
        <f t="shared" si="41"/>
        <v>0</v>
      </c>
    </row>
    <row r="125" spans="2:17" x14ac:dyDescent="0.2">
      <c r="B125" s="1121">
        <f t="shared" si="40"/>
        <v>0</v>
      </c>
      <c r="C125" s="1122">
        <f>'Previsión de negocio'!D227</f>
        <v>0</v>
      </c>
      <c r="D125" s="500">
        <f>'Presupuesto de ventas'!D$60*$C125</f>
        <v>0</v>
      </c>
      <c r="E125" s="289">
        <f>'Presupuesto de ventas'!E$60*$C125</f>
        <v>0</v>
      </c>
      <c r="F125" s="289">
        <f>'Presupuesto de ventas'!F$60*$C125</f>
        <v>0</v>
      </c>
      <c r="G125" s="289">
        <f>'Presupuesto de ventas'!G$60*$C125</f>
        <v>0</v>
      </c>
      <c r="H125" s="289">
        <f>'Presupuesto de ventas'!H$60*$C125</f>
        <v>0</v>
      </c>
      <c r="I125" s="289">
        <f>'Presupuesto de ventas'!I$60*$C125</f>
        <v>0</v>
      </c>
      <c r="J125" s="289">
        <f>'Presupuesto de ventas'!J$60*$C125</f>
        <v>0</v>
      </c>
      <c r="K125" s="289">
        <f>'Presupuesto de ventas'!K$60*$C125</f>
        <v>0</v>
      </c>
      <c r="L125" s="289">
        <f>'Presupuesto de ventas'!L$60*$C125</f>
        <v>0</v>
      </c>
      <c r="M125" s="289">
        <f>'Presupuesto de ventas'!M$60*$C125</f>
        <v>0</v>
      </c>
      <c r="N125" s="289">
        <f>'Presupuesto de ventas'!N$60*$C125</f>
        <v>0</v>
      </c>
      <c r="O125" s="501">
        <f>'Presupuesto de ventas'!O$60*$C125</f>
        <v>0</v>
      </c>
      <c r="P125" s="457">
        <f t="shared" si="41"/>
        <v>0</v>
      </c>
    </row>
    <row r="126" spans="2:17" s="1" customFormat="1" x14ac:dyDescent="0.2">
      <c r="B126" s="1123" t="str">
        <f t="shared" si="40"/>
        <v>Total</v>
      </c>
      <c r="C126" s="1124"/>
      <c r="D126" s="935">
        <f>SUM(D120:D125)</f>
        <v>0</v>
      </c>
      <c r="E126" s="295">
        <f t="shared" ref="E126:O126" si="42">SUM(E120:E125)</f>
        <v>0</v>
      </c>
      <c r="F126" s="295">
        <f t="shared" si="42"/>
        <v>0</v>
      </c>
      <c r="G126" s="295">
        <f t="shared" si="42"/>
        <v>0</v>
      </c>
      <c r="H126" s="295">
        <f t="shared" si="42"/>
        <v>0</v>
      </c>
      <c r="I126" s="295">
        <f t="shared" si="42"/>
        <v>0</v>
      </c>
      <c r="J126" s="295">
        <f t="shared" si="42"/>
        <v>0</v>
      </c>
      <c r="K126" s="295">
        <f t="shared" si="42"/>
        <v>0</v>
      </c>
      <c r="L126" s="295">
        <f t="shared" si="42"/>
        <v>0</v>
      </c>
      <c r="M126" s="295">
        <f t="shared" si="42"/>
        <v>0</v>
      </c>
      <c r="N126" s="295">
        <f t="shared" si="42"/>
        <v>0</v>
      </c>
      <c r="O126" s="639">
        <f t="shared" si="42"/>
        <v>0</v>
      </c>
      <c r="P126" s="457">
        <f t="shared" si="41"/>
        <v>0</v>
      </c>
    </row>
    <row r="127" spans="2:17" x14ac:dyDescent="0.2">
      <c r="B127" s="956" t="str">
        <f t="shared" si="40"/>
        <v>IVA</v>
      </c>
      <c r="C127" s="1125"/>
      <c r="D127" s="500">
        <f>IF('Datos generales'!$D$22&lt;=0,'Datos generales'!$D$19*D126,0)</f>
        <v>0</v>
      </c>
      <c r="E127" s="289">
        <f>IF('Datos generales'!$D$22&lt;=0,'Datos generales'!$D$19*E126,0)</f>
        <v>0</v>
      </c>
      <c r="F127" s="289">
        <f>IF('Datos generales'!$D$22&lt;=0,'Datos generales'!$D$19*F126,0)</f>
        <v>0</v>
      </c>
      <c r="G127" s="289">
        <f>IF('Datos generales'!$D$22&lt;=0,'Datos generales'!$D$19*G126,0)</f>
        <v>0</v>
      </c>
      <c r="H127" s="289">
        <f>IF('Datos generales'!$D$22&lt;=0,'Datos generales'!$D$19*H126,0)</f>
        <v>0</v>
      </c>
      <c r="I127" s="289">
        <f>IF('Datos generales'!$D$22&lt;=0,'Datos generales'!$D$19*I126,0)</f>
        <v>0</v>
      </c>
      <c r="J127" s="289">
        <f>IF('Datos generales'!$D$22&lt;=0,'Datos generales'!$D$19*J126,0)</f>
        <v>0</v>
      </c>
      <c r="K127" s="289">
        <f>IF('Datos generales'!$D$22&lt;=0,'Datos generales'!$D$19*K126,0)</f>
        <v>0</v>
      </c>
      <c r="L127" s="289">
        <f>IF('Datos generales'!$D$22&lt;=0,'Datos generales'!$D$19*L126,0)</f>
        <v>0</v>
      </c>
      <c r="M127" s="289">
        <f>IF('Datos generales'!$D$22&lt;=0,'Datos generales'!$D$19*M126,0)</f>
        <v>0</v>
      </c>
      <c r="N127" s="289">
        <f>IF('Datos generales'!$D$22&lt;=0,'Datos generales'!$D$19*N126,0)</f>
        <v>0</v>
      </c>
      <c r="O127" s="289">
        <f>IF('Datos generales'!$D$22&lt;=0,'Datos generales'!$D$19*O126,0)</f>
        <v>0</v>
      </c>
      <c r="P127" s="457">
        <f t="shared" si="41"/>
        <v>0</v>
      </c>
    </row>
    <row r="128" spans="2:17" x14ac:dyDescent="0.2">
      <c r="B128" s="435" t="str">
        <f t="shared" si="40"/>
        <v>Total costes variables s/ ventas:</v>
      </c>
      <c r="C128" s="436"/>
      <c r="D128" s="377">
        <f>D126+D127</f>
        <v>0</v>
      </c>
      <c r="E128" s="201">
        <f t="shared" ref="E128:O128" si="43">E126+E127</f>
        <v>0</v>
      </c>
      <c r="F128" s="201">
        <f t="shared" si="43"/>
        <v>0</v>
      </c>
      <c r="G128" s="201">
        <f t="shared" si="43"/>
        <v>0</v>
      </c>
      <c r="H128" s="201">
        <f t="shared" si="43"/>
        <v>0</v>
      </c>
      <c r="I128" s="201">
        <f t="shared" si="43"/>
        <v>0</v>
      </c>
      <c r="J128" s="201">
        <f t="shared" si="43"/>
        <v>0</v>
      </c>
      <c r="K128" s="201">
        <f t="shared" si="43"/>
        <v>0</v>
      </c>
      <c r="L128" s="201">
        <f t="shared" si="43"/>
        <v>0</v>
      </c>
      <c r="M128" s="201">
        <f t="shared" si="43"/>
        <v>0</v>
      </c>
      <c r="N128" s="201">
        <f t="shared" si="43"/>
        <v>0</v>
      </c>
      <c r="O128" s="348">
        <f t="shared" si="43"/>
        <v>0</v>
      </c>
      <c r="P128" s="371">
        <f t="shared" si="41"/>
        <v>0</v>
      </c>
    </row>
    <row r="129" spans="2:19" ht="7.5" customHeight="1" thickBot="1" x14ac:dyDescent="0.25">
      <c r="B129" s="425"/>
      <c r="C129" s="426"/>
      <c r="D129" s="61"/>
      <c r="E129" s="61"/>
      <c r="F129" s="61"/>
      <c r="G129" s="61"/>
      <c r="H129" s="61"/>
      <c r="I129" s="61"/>
      <c r="J129" s="61"/>
      <c r="K129" s="61"/>
      <c r="L129" s="61"/>
      <c r="M129" s="61"/>
      <c r="N129" s="61"/>
      <c r="O129" s="61"/>
      <c r="P129" s="61"/>
    </row>
    <row r="130" spans="2:19" ht="16.5" thickBot="1" x14ac:dyDescent="0.3">
      <c r="B130" s="439" t="str">
        <f>B38</f>
        <v>Total costes variables:</v>
      </c>
      <c r="C130" s="440"/>
      <c r="D130" s="455">
        <f>+D104+D118+D128</f>
        <v>0</v>
      </c>
      <c r="E130" s="455">
        <f t="shared" ref="E130:P130" si="44">+E104+E118+E128</f>
        <v>0</v>
      </c>
      <c r="F130" s="455">
        <f t="shared" si="44"/>
        <v>0</v>
      </c>
      <c r="G130" s="455">
        <f t="shared" si="44"/>
        <v>0</v>
      </c>
      <c r="H130" s="455">
        <f t="shared" si="44"/>
        <v>0</v>
      </c>
      <c r="I130" s="455">
        <f t="shared" si="44"/>
        <v>0</v>
      </c>
      <c r="J130" s="455">
        <f t="shared" si="44"/>
        <v>0</v>
      </c>
      <c r="K130" s="455">
        <f t="shared" si="44"/>
        <v>0</v>
      </c>
      <c r="L130" s="455">
        <f t="shared" si="44"/>
        <v>0</v>
      </c>
      <c r="M130" s="455">
        <f t="shared" si="44"/>
        <v>0</v>
      </c>
      <c r="N130" s="455">
        <f t="shared" si="44"/>
        <v>0</v>
      </c>
      <c r="O130" s="455">
        <f t="shared" si="44"/>
        <v>0</v>
      </c>
      <c r="P130" s="977">
        <f t="shared" si="44"/>
        <v>0</v>
      </c>
    </row>
    <row r="132" spans="2:19" s="954" customFormat="1" hidden="1" x14ac:dyDescent="0.2">
      <c r="B132" s="616" t="s">
        <v>727</v>
      </c>
      <c r="C132" s="1283" t="s">
        <v>296</v>
      </c>
      <c r="D132" s="1283" t="s">
        <v>297</v>
      </c>
      <c r="E132" s="1283" t="s">
        <v>298</v>
      </c>
      <c r="F132" s="1283" t="s">
        <v>120</v>
      </c>
      <c r="G132" s="1283" t="s">
        <v>121</v>
      </c>
      <c r="H132" s="1283" t="s">
        <v>122</v>
      </c>
      <c r="I132" s="1283" t="s">
        <v>123</v>
      </c>
      <c r="J132" s="1283" t="s">
        <v>299</v>
      </c>
      <c r="K132" s="1283" t="s">
        <v>300</v>
      </c>
      <c r="L132" s="1283" t="s">
        <v>301</v>
      </c>
      <c r="M132" s="1283" t="s">
        <v>302</v>
      </c>
      <c r="N132" s="1283" t="s">
        <v>303</v>
      </c>
      <c r="O132" s="1284">
        <f>'Datos generales'!$P$10</f>
        <v>2020</v>
      </c>
      <c r="P132" s="616" t="s">
        <v>728</v>
      </c>
      <c r="Q132" s="616"/>
      <c r="R132" s="616"/>
      <c r="S132" s="616"/>
    </row>
    <row r="133" spans="2:19" s="954" customFormat="1" hidden="1" x14ac:dyDescent="0.2">
      <c r="B133" s="616" t="str">
        <f>B92</f>
        <v>Producto o servicio 1</v>
      </c>
      <c r="C133" s="616">
        <f>IF('Previsión de negocio'!$T234=E$1,'Previsión de negocio'!$F234,0)</f>
        <v>0</v>
      </c>
      <c r="D133" s="616">
        <f>IF('Previsión de negocio'!$T234=F$1,'Previsión de negocio'!$F234,0)</f>
        <v>0</v>
      </c>
      <c r="E133" s="616">
        <f>IF('Previsión de negocio'!$T234=G$1,'Previsión de negocio'!$F234,0)</f>
        <v>0</v>
      </c>
      <c r="F133" s="616">
        <f>IF('Previsión de negocio'!$T234=H$1,'Previsión de negocio'!$F234,0)</f>
        <v>0</v>
      </c>
      <c r="G133" s="616">
        <f>IF('Previsión de negocio'!$T234=I$1,'Previsión de negocio'!$F234,0)</f>
        <v>0</v>
      </c>
      <c r="H133" s="616">
        <f>IF('Previsión de negocio'!$T234=J$1,'Previsión de negocio'!$F234,0)</f>
        <v>0</v>
      </c>
      <c r="I133" s="616">
        <f>IF('Previsión de negocio'!$T234=K$1,'Previsión de negocio'!$F234,0)</f>
        <v>0</v>
      </c>
      <c r="J133" s="616">
        <f>IF('Previsión de negocio'!$T234=L$1,'Previsión de negocio'!$F234,0)</f>
        <v>0</v>
      </c>
      <c r="K133" s="616">
        <f>IF('Previsión de negocio'!$T234=M$1,'Previsión de negocio'!$F234,0)</f>
        <v>0</v>
      </c>
      <c r="L133" s="616">
        <f>IF('Previsión de negocio'!$T234=N$1,'Previsión de negocio'!$F234,0)</f>
        <v>0</v>
      </c>
      <c r="M133" s="616">
        <f>IF('Previsión de negocio'!$T234=O$1,'Previsión de negocio'!$F234,0)</f>
        <v>0</v>
      </c>
      <c r="N133" s="616">
        <f>IF('Previsión de negocio'!$T234=P$1,'Previsión de negocio'!$F234,0)</f>
        <v>0</v>
      </c>
      <c r="O133" s="1047">
        <f t="shared" ref="O133:O142" si="45">SUM(C133:N133)</f>
        <v>0</v>
      </c>
      <c r="P133" s="616">
        <f>IF('Previsión de negocio'!S234=$O$132,IF('Previsión de negocio'!D234=1,'Previsión de negocio'!E234,'Previsión de negocio'!D234*'Previsión de negocio'!O34),0)</f>
        <v>0</v>
      </c>
      <c r="Q133" s="616"/>
      <c r="R133" s="616"/>
      <c r="S133" s="616"/>
    </row>
    <row r="134" spans="2:19" s="954" customFormat="1" hidden="1" x14ac:dyDescent="0.2">
      <c r="B134" s="616" t="str">
        <f t="shared" ref="B134:B143" si="46">B93</f>
        <v>Producto o servicio 2</v>
      </c>
      <c r="C134" s="616">
        <f>IF('Previsión de negocio'!$T235=E$1,'Previsión de negocio'!$F235,0)</f>
        <v>0</v>
      </c>
      <c r="D134" s="616">
        <f>IF('Previsión de negocio'!$T235=F$1,'Previsión de negocio'!$F235,0)</f>
        <v>0</v>
      </c>
      <c r="E134" s="616">
        <f>IF('Previsión de negocio'!$T235=G$1,'Previsión de negocio'!$F235,0)</f>
        <v>0</v>
      </c>
      <c r="F134" s="616">
        <f>IF('Previsión de negocio'!$T235=H$1,'Previsión de negocio'!$F235,0)</f>
        <v>0</v>
      </c>
      <c r="G134" s="616">
        <f>IF('Previsión de negocio'!$T235=I$1,'Previsión de negocio'!$F235,0)</f>
        <v>0</v>
      </c>
      <c r="H134" s="616">
        <f>IF('Previsión de negocio'!$T235=J$1,'Previsión de negocio'!$F235,0)</f>
        <v>0</v>
      </c>
      <c r="I134" s="616">
        <f>IF('Previsión de negocio'!$T235=K$1,'Previsión de negocio'!$F235,0)</f>
        <v>0</v>
      </c>
      <c r="J134" s="616">
        <f>IF('Previsión de negocio'!$T235=L$1,'Previsión de negocio'!$F235,0)</f>
        <v>0</v>
      </c>
      <c r="K134" s="616">
        <f>IF('Previsión de negocio'!$T235=M$1,'Previsión de negocio'!$F235,0)</f>
        <v>0</v>
      </c>
      <c r="L134" s="616">
        <f>IF('Previsión de negocio'!$T235=N$1,'Previsión de negocio'!$F235,0)</f>
        <v>0</v>
      </c>
      <c r="M134" s="616">
        <f>IF('Previsión de negocio'!$T235=O$1,'Previsión de negocio'!$F235,0)</f>
        <v>0</v>
      </c>
      <c r="N134" s="616">
        <f>IF('Previsión de negocio'!$T235=P$1,'Previsión de negocio'!$F235,0)</f>
        <v>0</v>
      </c>
      <c r="O134" s="1047">
        <f t="shared" si="45"/>
        <v>0</v>
      </c>
      <c r="P134" s="616">
        <f>IF('Previsión de negocio'!S235=$O$132,IF('Previsión de negocio'!D235=1,'Previsión de negocio'!E235,'Previsión de negocio'!D235*'Previsión de negocio'!O40),0)</f>
        <v>0</v>
      </c>
      <c r="Q134" s="616"/>
      <c r="R134" s="616"/>
      <c r="S134" s="616"/>
    </row>
    <row r="135" spans="2:19" s="954" customFormat="1" hidden="1" x14ac:dyDescent="0.2">
      <c r="B135" s="616" t="str">
        <f t="shared" si="46"/>
        <v>Producto o servicio 3</v>
      </c>
      <c r="C135" s="616">
        <f>IF('Previsión de negocio'!$T236=E$1,'Previsión de negocio'!$F236,0)</f>
        <v>0</v>
      </c>
      <c r="D135" s="616">
        <f>IF('Previsión de negocio'!$T236=F$1,'Previsión de negocio'!$F236,0)</f>
        <v>0</v>
      </c>
      <c r="E135" s="616">
        <f>IF('Previsión de negocio'!$T236=G$1,'Previsión de negocio'!$F236,0)</f>
        <v>0</v>
      </c>
      <c r="F135" s="616">
        <f>IF('Previsión de negocio'!$T236=H$1,'Previsión de negocio'!$F236,0)</f>
        <v>0</v>
      </c>
      <c r="G135" s="616">
        <f>IF('Previsión de negocio'!$T236=I$1,'Previsión de negocio'!$F236,0)</f>
        <v>0</v>
      </c>
      <c r="H135" s="616">
        <f>IF('Previsión de negocio'!$T236=J$1,'Previsión de negocio'!$F236,0)</f>
        <v>0</v>
      </c>
      <c r="I135" s="616">
        <f>IF('Previsión de negocio'!$T236=K$1,'Previsión de negocio'!$F236,0)</f>
        <v>0</v>
      </c>
      <c r="J135" s="616">
        <f>IF('Previsión de negocio'!$T236=L$1,'Previsión de negocio'!$F236,0)</f>
        <v>0</v>
      </c>
      <c r="K135" s="616">
        <f>IF('Previsión de negocio'!$T236=M$1,'Previsión de negocio'!$F236,0)</f>
        <v>0</v>
      </c>
      <c r="L135" s="616">
        <f>IF('Previsión de negocio'!$T236=N$1,'Previsión de negocio'!$F236,0)</f>
        <v>0</v>
      </c>
      <c r="M135" s="616">
        <f>IF('Previsión de negocio'!$T236=O$1,'Previsión de negocio'!$F236,0)</f>
        <v>0</v>
      </c>
      <c r="N135" s="616">
        <f>IF('Previsión de negocio'!$T236=P$1,'Previsión de negocio'!$F236,0)</f>
        <v>0</v>
      </c>
      <c r="O135" s="1047">
        <f t="shared" si="45"/>
        <v>0</v>
      </c>
      <c r="P135" s="616">
        <f>IF('Previsión de negocio'!S236=$O$132,IF('Previsión de negocio'!D236=1,'Previsión de negocio'!E236,'Previsión de negocio'!D236*'Previsión de negocio'!O46),0)</f>
        <v>0</v>
      </c>
      <c r="Q135" s="616"/>
      <c r="R135" s="616"/>
      <c r="S135" s="616"/>
    </row>
    <row r="136" spans="2:19" s="954" customFormat="1" hidden="1" x14ac:dyDescent="0.2">
      <c r="B136" s="616">
        <f t="shared" si="46"/>
        <v>0</v>
      </c>
      <c r="C136" s="616">
        <f>IF('Previsión de negocio'!$T237=E$1,'Previsión de negocio'!$F237,0)</f>
        <v>0</v>
      </c>
      <c r="D136" s="616">
        <f>IF('Previsión de negocio'!$T237=F$1,'Previsión de negocio'!$F237,0)</f>
        <v>0</v>
      </c>
      <c r="E136" s="616">
        <f>IF('Previsión de negocio'!$T237=G$1,'Previsión de negocio'!$F237,0)</f>
        <v>0</v>
      </c>
      <c r="F136" s="616">
        <f>IF('Previsión de negocio'!$T237=H$1,'Previsión de negocio'!$F237,0)</f>
        <v>0</v>
      </c>
      <c r="G136" s="616">
        <f>IF('Previsión de negocio'!$T237=I$1,'Previsión de negocio'!$F237,0)</f>
        <v>0</v>
      </c>
      <c r="H136" s="616">
        <f>IF('Previsión de negocio'!$T237=J$1,'Previsión de negocio'!$F237,0)</f>
        <v>0</v>
      </c>
      <c r="I136" s="616">
        <f>IF('Previsión de negocio'!$T237=K$1,'Previsión de negocio'!$F237,0)</f>
        <v>0</v>
      </c>
      <c r="J136" s="616">
        <f>IF('Previsión de negocio'!$T237=L$1,'Previsión de negocio'!$F237,0)</f>
        <v>0</v>
      </c>
      <c r="K136" s="616">
        <f>IF('Previsión de negocio'!$T237=M$1,'Previsión de negocio'!$F237,0)</f>
        <v>0</v>
      </c>
      <c r="L136" s="616">
        <f>IF('Previsión de negocio'!$T237=N$1,'Previsión de negocio'!$F237,0)</f>
        <v>0</v>
      </c>
      <c r="M136" s="616">
        <f>IF('Previsión de negocio'!$T237=O$1,'Previsión de negocio'!$F237,0)</f>
        <v>0</v>
      </c>
      <c r="N136" s="616">
        <f>IF('Previsión de negocio'!$T237=P$1,'Previsión de negocio'!$F237,0)</f>
        <v>0</v>
      </c>
      <c r="O136" s="1047">
        <f t="shared" si="45"/>
        <v>0</v>
      </c>
      <c r="P136" s="616">
        <f>IF('Previsión de negocio'!S237=$O$132,IF('Previsión de negocio'!D237=1,'Previsión de negocio'!E237,'Previsión de negocio'!D237*'Previsión de negocio'!O52),0)</f>
        <v>0</v>
      </c>
      <c r="Q136" s="616"/>
      <c r="R136" s="616"/>
      <c r="S136" s="616"/>
    </row>
    <row r="137" spans="2:19" s="954" customFormat="1" hidden="1" x14ac:dyDescent="0.2">
      <c r="B137" s="616">
        <f t="shared" si="46"/>
        <v>0</v>
      </c>
      <c r="C137" s="616">
        <f>IF('Previsión de negocio'!$T238=E$1,'Previsión de negocio'!$F238,0)</f>
        <v>0</v>
      </c>
      <c r="D137" s="616">
        <f>IF('Previsión de negocio'!$T238=F$1,'Previsión de negocio'!$F238,0)</f>
        <v>0</v>
      </c>
      <c r="E137" s="616">
        <f>IF('Previsión de negocio'!$T238=G$1,'Previsión de negocio'!$F238,0)</f>
        <v>0</v>
      </c>
      <c r="F137" s="616">
        <f>IF('Previsión de negocio'!$T238=H$1,'Previsión de negocio'!$F238,0)</f>
        <v>0</v>
      </c>
      <c r="G137" s="616">
        <f>IF('Previsión de negocio'!$T238=I$1,'Previsión de negocio'!$F238,0)</f>
        <v>0</v>
      </c>
      <c r="H137" s="616">
        <f>IF('Previsión de negocio'!$T238=J$1,'Previsión de negocio'!$F238,0)</f>
        <v>0</v>
      </c>
      <c r="I137" s="616">
        <f>IF('Previsión de negocio'!$T238=K$1,'Previsión de negocio'!$F238,0)</f>
        <v>0</v>
      </c>
      <c r="J137" s="616">
        <f>IF('Previsión de negocio'!$T238=L$1,'Previsión de negocio'!$F238,0)</f>
        <v>0</v>
      </c>
      <c r="K137" s="616">
        <f>IF('Previsión de negocio'!$T238=M$1,'Previsión de negocio'!$F238,0)</f>
        <v>0</v>
      </c>
      <c r="L137" s="616">
        <f>IF('Previsión de negocio'!$T238=N$1,'Previsión de negocio'!$F238,0)</f>
        <v>0</v>
      </c>
      <c r="M137" s="616">
        <f>IF('Previsión de negocio'!$T238=O$1,'Previsión de negocio'!$F238,0)</f>
        <v>0</v>
      </c>
      <c r="N137" s="616">
        <f>IF('Previsión de negocio'!$T238=P$1,'Previsión de negocio'!$F238,0)</f>
        <v>0</v>
      </c>
      <c r="O137" s="1047">
        <f t="shared" si="45"/>
        <v>0</v>
      </c>
      <c r="P137" s="616">
        <f>IF('Previsión de negocio'!S238=$O$132,IF('Previsión de negocio'!D238=1,'Previsión de negocio'!E238,'Previsión de negocio'!D238*'Previsión de negocio'!O58),0)</f>
        <v>0</v>
      </c>
      <c r="Q137" s="616"/>
      <c r="R137" s="616"/>
      <c r="S137" s="616"/>
    </row>
    <row r="138" spans="2:19" s="954" customFormat="1" hidden="1" x14ac:dyDescent="0.2">
      <c r="B138" s="616">
        <f t="shared" si="46"/>
        <v>0</v>
      </c>
      <c r="C138" s="616">
        <f>IF('Previsión de negocio'!$T239=E$1,'Previsión de negocio'!$F239,0)</f>
        <v>0</v>
      </c>
      <c r="D138" s="616">
        <f>IF('Previsión de negocio'!$T239=F$1,'Previsión de negocio'!$F239,0)</f>
        <v>0</v>
      </c>
      <c r="E138" s="616">
        <f>IF('Previsión de negocio'!$T239=G$1,'Previsión de negocio'!$F239,0)</f>
        <v>0</v>
      </c>
      <c r="F138" s="616">
        <f>IF('Previsión de negocio'!$T239=H$1,'Previsión de negocio'!$F239,0)</f>
        <v>0</v>
      </c>
      <c r="G138" s="616">
        <f>IF('Previsión de negocio'!$T239=I$1,'Previsión de negocio'!$F239,0)</f>
        <v>0</v>
      </c>
      <c r="H138" s="616">
        <f>IF('Previsión de negocio'!$T239=J$1,'Previsión de negocio'!$F239,0)</f>
        <v>0</v>
      </c>
      <c r="I138" s="616">
        <f>IF('Previsión de negocio'!$T239=K$1,'Previsión de negocio'!$F239,0)</f>
        <v>0</v>
      </c>
      <c r="J138" s="616">
        <f>IF('Previsión de negocio'!$T239=L$1,'Previsión de negocio'!$F239,0)</f>
        <v>0</v>
      </c>
      <c r="K138" s="616">
        <f>IF('Previsión de negocio'!$T239=M$1,'Previsión de negocio'!$F239,0)</f>
        <v>0</v>
      </c>
      <c r="L138" s="616">
        <f>IF('Previsión de negocio'!$T239=N$1,'Previsión de negocio'!$F239,0)</f>
        <v>0</v>
      </c>
      <c r="M138" s="616">
        <f>IF('Previsión de negocio'!$T239=O$1,'Previsión de negocio'!$F239,0)</f>
        <v>0</v>
      </c>
      <c r="N138" s="616">
        <f>IF('Previsión de negocio'!$T239=P$1,'Previsión de negocio'!$F239,0)</f>
        <v>0</v>
      </c>
      <c r="O138" s="1047">
        <f t="shared" si="45"/>
        <v>0</v>
      </c>
      <c r="P138" s="616">
        <f>IF('Previsión de negocio'!S239=$O$132,IF('Previsión de negocio'!D239=1,'Previsión de negocio'!E239,'Previsión de negocio'!D239*'Previsión de negocio'!O64),0)</f>
        <v>0</v>
      </c>
      <c r="Q138" s="616"/>
      <c r="R138" s="616"/>
      <c r="S138" s="616"/>
    </row>
    <row r="139" spans="2:19" s="954" customFormat="1" hidden="1" x14ac:dyDescent="0.2">
      <c r="B139" s="616">
        <f t="shared" si="46"/>
        <v>0</v>
      </c>
      <c r="C139" s="616">
        <f>IF('Previsión de negocio'!$T240=E$1,'Previsión de negocio'!$F240,0)</f>
        <v>0</v>
      </c>
      <c r="D139" s="616">
        <f>IF('Previsión de negocio'!$T240=F$1,'Previsión de negocio'!$F240,0)</f>
        <v>0</v>
      </c>
      <c r="E139" s="616">
        <f>IF('Previsión de negocio'!$T240=G$1,'Previsión de negocio'!$F240,0)</f>
        <v>0</v>
      </c>
      <c r="F139" s="616">
        <f>IF('Previsión de negocio'!$T240=H$1,'Previsión de negocio'!$F240,0)</f>
        <v>0</v>
      </c>
      <c r="G139" s="616">
        <f>IF('Previsión de negocio'!$T240=I$1,'Previsión de negocio'!$F240,0)</f>
        <v>0</v>
      </c>
      <c r="H139" s="616">
        <f>IF('Previsión de negocio'!$T240=J$1,'Previsión de negocio'!$F240,0)</f>
        <v>0</v>
      </c>
      <c r="I139" s="616">
        <f>IF('Previsión de negocio'!$T240=K$1,'Previsión de negocio'!$F240,0)</f>
        <v>0</v>
      </c>
      <c r="J139" s="616">
        <f>IF('Previsión de negocio'!$T240=L$1,'Previsión de negocio'!$F240,0)</f>
        <v>0</v>
      </c>
      <c r="K139" s="616">
        <f>IF('Previsión de negocio'!$T240=M$1,'Previsión de negocio'!$F240,0)</f>
        <v>0</v>
      </c>
      <c r="L139" s="616">
        <f>IF('Previsión de negocio'!$T240=N$1,'Previsión de negocio'!$F240,0)</f>
        <v>0</v>
      </c>
      <c r="M139" s="616">
        <f>IF('Previsión de negocio'!$T240=O$1,'Previsión de negocio'!$F240,0)</f>
        <v>0</v>
      </c>
      <c r="N139" s="616">
        <f>IF('Previsión de negocio'!$T240=P$1,'Previsión de negocio'!$F240,0)</f>
        <v>0</v>
      </c>
      <c r="O139" s="1047">
        <f t="shared" si="45"/>
        <v>0</v>
      </c>
      <c r="P139" s="616">
        <f>IF('Previsión de negocio'!S240=$O$132,IF('Previsión de negocio'!D240=1,'Previsión de negocio'!E240,'Previsión de negocio'!D240*'Previsión de negocio'!O70),0)</f>
        <v>0</v>
      </c>
      <c r="Q139" s="616"/>
      <c r="R139" s="616"/>
      <c r="S139" s="616"/>
    </row>
    <row r="140" spans="2:19" s="954" customFormat="1" hidden="1" x14ac:dyDescent="0.2">
      <c r="B140" s="616">
        <f t="shared" si="46"/>
        <v>0</v>
      </c>
      <c r="C140" s="616">
        <f>IF('Previsión de negocio'!$T241=E$1,'Previsión de negocio'!$F241,0)</f>
        <v>0</v>
      </c>
      <c r="D140" s="616">
        <f>IF('Previsión de negocio'!$T241=F$1,'Previsión de negocio'!$F241,0)</f>
        <v>0</v>
      </c>
      <c r="E140" s="616">
        <f>IF('Previsión de negocio'!$T241=G$1,'Previsión de negocio'!$F241,0)</f>
        <v>0</v>
      </c>
      <c r="F140" s="616">
        <f>IF('Previsión de negocio'!$T241=H$1,'Previsión de negocio'!$F241,0)</f>
        <v>0</v>
      </c>
      <c r="G140" s="616">
        <f>IF('Previsión de negocio'!$T241=I$1,'Previsión de negocio'!$F241,0)</f>
        <v>0</v>
      </c>
      <c r="H140" s="616">
        <f>IF('Previsión de negocio'!$T241=J$1,'Previsión de negocio'!$F241,0)</f>
        <v>0</v>
      </c>
      <c r="I140" s="616">
        <f>IF('Previsión de negocio'!$T241=K$1,'Previsión de negocio'!$F241,0)</f>
        <v>0</v>
      </c>
      <c r="J140" s="616">
        <f>IF('Previsión de negocio'!$T241=L$1,'Previsión de negocio'!$F241,0)</f>
        <v>0</v>
      </c>
      <c r="K140" s="616">
        <f>IF('Previsión de negocio'!$T241=M$1,'Previsión de negocio'!$F241,0)</f>
        <v>0</v>
      </c>
      <c r="L140" s="616">
        <f>IF('Previsión de negocio'!$T241=N$1,'Previsión de negocio'!$F241,0)</f>
        <v>0</v>
      </c>
      <c r="M140" s="616">
        <f>IF('Previsión de negocio'!$T241=O$1,'Previsión de negocio'!$F241,0)</f>
        <v>0</v>
      </c>
      <c r="N140" s="616">
        <f>IF('Previsión de negocio'!$T241=P$1,'Previsión de negocio'!$F241,0)</f>
        <v>0</v>
      </c>
      <c r="O140" s="1047">
        <f t="shared" si="45"/>
        <v>0</v>
      </c>
      <c r="P140" s="616">
        <f>IF('Previsión de negocio'!S241=$O$132,IF('Previsión de negocio'!D241=1,'Previsión de negocio'!E241,'Previsión de negocio'!D241*'Previsión de negocio'!O76),0)</f>
        <v>0</v>
      </c>
      <c r="Q140" s="616"/>
      <c r="R140" s="616"/>
      <c r="S140" s="616"/>
    </row>
    <row r="141" spans="2:19" s="954" customFormat="1" hidden="1" x14ac:dyDescent="0.2">
      <c r="B141" s="616">
        <f t="shared" si="46"/>
        <v>0</v>
      </c>
      <c r="C141" s="616">
        <f>IF('Previsión de negocio'!$T242=E$1,'Previsión de negocio'!$F242,0)</f>
        <v>0</v>
      </c>
      <c r="D141" s="616">
        <f>IF('Previsión de negocio'!$T242=F$1,'Previsión de negocio'!$F242,0)</f>
        <v>0</v>
      </c>
      <c r="E141" s="616">
        <f>IF('Previsión de negocio'!$T242=G$1,'Previsión de negocio'!$F242,0)</f>
        <v>0</v>
      </c>
      <c r="F141" s="616">
        <f>IF('Previsión de negocio'!$T242=H$1,'Previsión de negocio'!$F242,0)</f>
        <v>0</v>
      </c>
      <c r="G141" s="616">
        <f>IF('Previsión de negocio'!$T242=I$1,'Previsión de negocio'!$F242,0)</f>
        <v>0</v>
      </c>
      <c r="H141" s="616">
        <f>IF('Previsión de negocio'!$T242=J$1,'Previsión de negocio'!$F242,0)</f>
        <v>0</v>
      </c>
      <c r="I141" s="616">
        <f>IF('Previsión de negocio'!$T242=K$1,'Previsión de negocio'!$F242,0)</f>
        <v>0</v>
      </c>
      <c r="J141" s="616">
        <f>IF('Previsión de negocio'!$T242=L$1,'Previsión de negocio'!$F242,0)</f>
        <v>0</v>
      </c>
      <c r="K141" s="616">
        <f>IF('Previsión de negocio'!$T242=M$1,'Previsión de negocio'!$F242,0)</f>
        <v>0</v>
      </c>
      <c r="L141" s="616">
        <f>IF('Previsión de negocio'!$T242=N$1,'Previsión de negocio'!$F242,0)</f>
        <v>0</v>
      </c>
      <c r="M141" s="616">
        <f>IF('Previsión de negocio'!$T242=O$1,'Previsión de negocio'!$F242,0)</f>
        <v>0</v>
      </c>
      <c r="N141" s="616">
        <f>IF('Previsión de negocio'!$T242=P$1,'Previsión de negocio'!$F242,0)</f>
        <v>0</v>
      </c>
      <c r="O141" s="1047">
        <f t="shared" si="45"/>
        <v>0</v>
      </c>
      <c r="P141" s="616">
        <f>IF('Previsión de negocio'!S242=$O$132,IF('Previsión de negocio'!D242=1,'Previsión de negocio'!E242,'Previsión de negocio'!D242*'Previsión de negocio'!O82),0)</f>
        <v>0</v>
      </c>
      <c r="Q141" s="616"/>
      <c r="R141" s="616"/>
      <c r="S141" s="616"/>
    </row>
    <row r="142" spans="2:19" s="954" customFormat="1" hidden="1" x14ac:dyDescent="0.2">
      <c r="B142" s="616">
        <f t="shared" si="46"/>
        <v>0</v>
      </c>
      <c r="C142" s="616">
        <f>IF('Previsión de negocio'!$T243=E$1,'Previsión de negocio'!$F243,0)</f>
        <v>0</v>
      </c>
      <c r="D142" s="616">
        <f>IF('Previsión de negocio'!$T243=F$1,'Previsión de negocio'!$F243,0)</f>
        <v>0</v>
      </c>
      <c r="E142" s="616">
        <f>IF('Previsión de negocio'!$T243=G$1,'Previsión de negocio'!$F243,0)</f>
        <v>0</v>
      </c>
      <c r="F142" s="616">
        <f>IF('Previsión de negocio'!$T243=H$1,'Previsión de negocio'!$F243,0)</f>
        <v>0</v>
      </c>
      <c r="G142" s="616">
        <f>IF('Previsión de negocio'!$T243=I$1,'Previsión de negocio'!$F243,0)</f>
        <v>0</v>
      </c>
      <c r="H142" s="616">
        <f>IF('Previsión de negocio'!$T243=J$1,'Previsión de negocio'!$F243,0)</f>
        <v>0</v>
      </c>
      <c r="I142" s="616">
        <f>IF('Previsión de negocio'!$T243=K$1,'Previsión de negocio'!$F243,0)</f>
        <v>0</v>
      </c>
      <c r="J142" s="616">
        <f>IF('Previsión de negocio'!$T243=L$1,'Previsión de negocio'!$F243,0)</f>
        <v>0</v>
      </c>
      <c r="K142" s="616">
        <f>IF('Previsión de negocio'!$T243=M$1,'Previsión de negocio'!$F243,0)</f>
        <v>0</v>
      </c>
      <c r="L142" s="616">
        <f>IF('Previsión de negocio'!$T243=N$1,'Previsión de negocio'!$F243,0)</f>
        <v>0</v>
      </c>
      <c r="M142" s="616">
        <f>IF('Previsión de negocio'!$T243=O$1,'Previsión de negocio'!$F243,0)</f>
        <v>0</v>
      </c>
      <c r="N142" s="616">
        <f>IF('Previsión de negocio'!$T243=P$1,'Previsión de negocio'!$F243,0)</f>
        <v>0</v>
      </c>
      <c r="O142" s="1047">
        <f t="shared" si="45"/>
        <v>0</v>
      </c>
      <c r="P142" s="616">
        <f>IF('Previsión de negocio'!S243=$O$132,IF('Previsión de negocio'!D243=1,'Previsión de negocio'!E243,'Previsión de negocio'!D243*'Previsión de negocio'!O88),0)</f>
        <v>0</v>
      </c>
      <c r="Q142" s="616"/>
      <c r="R142" s="616"/>
      <c r="S142" s="616"/>
    </row>
    <row r="143" spans="2:19" hidden="1" x14ac:dyDescent="0.2">
      <c r="B143" s="616" t="str">
        <f t="shared" si="46"/>
        <v>Total</v>
      </c>
      <c r="C143" s="616">
        <f>SUM(C133:C142)</f>
        <v>0</v>
      </c>
      <c r="D143" s="616">
        <f t="shared" ref="D143:P143" si="47">SUM(D133:D142)</f>
        <v>0</v>
      </c>
      <c r="E143" s="616">
        <f t="shared" si="47"/>
        <v>0</v>
      </c>
      <c r="F143" s="616">
        <f t="shared" si="47"/>
        <v>0</v>
      </c>
      <c r="G143" s="616">
        <f t="shared" si="47"/>
        <v>0</v>
      </c>
      <c r="H143" s="616">
        <f t="shared" si="47"/>
        <v>0</v>
      </c>
      <c r="I143" s="616">
        <f t="shared" si="47"/>
        <v>0</v>
      </c>
      <c r="J143" s="616">
        <f t="shared" si="47"/>
        <v>0</v>
      </c>
      <c r="K143" s="616">
        <f t="shared" si="47"/>
        <v>0</v>
      </c>
      <c r="L143" s="616">
        <f t="shared" si="47"/>
        <v>0</v>
      </c>
      <c r="M143" s="616">
        <f t="shared" si="47"/>
        <v>0</v>
      </c>
      <c r="N143" s="616">
        <f t="shared" si="47"/>
        <v>0</v>
      </c>
      <c r="O143" s="616">
        <f t="shared" si="47"/>
        <v>0</v>
      </c>
      <c r="P143" s="616">
        <f t="shared" si="47"/>
        <v>0</v>
      </c>
      <c r="Q143" s="616"/>
    </row>
    <row r="144" spans="2:19" hidden="1" x14ac:dyDescent="0.2">
      <c r="B144" s="616" t="s">
        <v>729</v>
      </c>
      <c r="C144" s="1018">
        <f>IF('Datos generales'!$D$22&lt;=0,'Datos generales'!$D$16*C143+C143,0)</f>
        <v>0</v>
      </c>
      <c r="D144" s="1018">
        <f>IF('Datos generales'!$D$22&lt;=0,'Datos generales'!$D$16*D143+D143,0)</f>
        <v>0</v>
      </c>
      <c r="E144" s="1018">
        <f>IF('Datos generales'!$D$22&lt;=0,'Datos generales'!$D$16*E143+E143,0)</f>
        <v>0</v>
      </c>
      <c r="F144" s="1018">
        <f>IF('Datos generales'!$D$22&lt;=0,'Datos generales'!$D$16*F143+F143,0)</f>
        <v>0</v>
      </c>
      <c r="G144" s="1018">
        <f>IF('Datos generales'!$D$22&lt;=0,'Datos generales'!$D$16*G143+G143,0)</f>
        <v>0</v>
      </c>
      <c r="H144" s="1018">
        <f>IF('Datos generales'!$D$22&lt;=0,'Datos generales'!$D$16*H143+H143,0)</f>
        <v>0</v>
      </c>
      <c r="I144" s="1018">
        <f>IF('Datos generales'!$D$22&lt;=0,'Datos generales'!$D$16*I143+I143,0)</f>
        <v>0</v>
      </c>
      <c r="J144" s="1018">
        <f>IF('Datos generales'!$D$22&lt;=0,'Datos generales'!$D$16*J143+J143,0)</f>
        <v>0</v>
      </c>
      <c r="K144" s="1018">
        <f>IF('Datos generales'!$D$22&lt;=0,'Datos generales'!$D$16*K143+K143,0)</f>
        <v>0</v>
      </c>
      <c r="L144" s="1018">
        <f>IF('Datos generales'!$D$22&lt;=0,'Datos generales'!$D$16*L143+L143,0)</f>
        <v>0</v>
      </c>
      <c r="M144" s="1018">
        <f>IF('Datos generales'!$D$22&lt;=0,'Datos generales'!$D$16*M143+M143,0)</f>
        <v>0</v>
      </c>
      <c r="N144" s="1018">
        <f>IF('Datos generales'!$D$22&lt;=0,'Datos generales'!$D$16*N143+N143,0)</f>
        <v>0</v>
      </c>
      <c r="O144" s="1018">
        <f>IF('Datos generales'!$D$22&lt;=0,'Datos generales'!$D$16*O143+O143,0)</f>
        <v>0</v>
      </c>
      <c r="P144" s="1018">
        <f>IF('Datos generales'!$D$22&lt;=0,'Datos generales'!$D$16*P143+P143,0)</f>
        <v>0</v>
      </c>
      <c r="Q144" s="616"/>
      <c r="R144" s="616"/>
      <c r="S144" s="616"/>
    </row>
    <row r="146" spans="2:16" ht="15.75" x14ac:dyDescent="0.25">
      <c r="B146" s="138" t="s">
        <v>722</v>
      </c>
      <c r="D146" s="138" t="s">
        <v>468</v>
      </c>
    </row>
    <row r="147" spans="2:16" ht="5.25" customHeight="1" thickBot="1" x14ac:dyDescent="0.25"/>
    <row r="148" spans="2:16" ht="30.75" customHeight="1" x14ac:dyDescent="0.2">
      <c r="B148" s="388" t="s">
        <v>704</v>
      </c>
      <c r="C148" s="458"/>
      <c r="D148" s="972" t="s">
        <v>296</v>
      </c>
      <c r="E148" s="973" t="s">
        <v>297</v>
      </c>
      <c r="F148" s="973" t="s">
        <v>298</v>
      </c>
      <c r="G148" s="973" t="s">
        <v>120</v>
      </c>
      <c r="H148" s="973" t="s">
        <v>121</v>
      </c>
      <c r="I148" s="973" t="s">
        <v>122</v>
      </c>
      <c r="J148" s="973" t="s">
        <v>123</v>
      </c>
      <c r="K148" s="973" t="s">
        <v>299</v>
      </c>
      <c r="L148" s="973" t="s">
        <v>300</v>
      </c>
      <c r="M148" s="973" t="s">
        <v>301</v>
      </c>
      <c r="N148" s="973" t="s">
        <v>302</v>
      </c>
      <c r="O148" s="974" t="s">
        <v>303</v>
      </c>
      <c r="P148" s="975" t="s">
        <v>711</v>
      </c>
    </row>
    <row r="149" spans="2:16" ht="15" customHeight="1" x14ac:dyDescent="0.2">
      <c r="B149" s="1462" t="s">
        <v>705</v>
      </c>
      <c r="C149" s="1463"/>
      <c r="D149" s="970"/>
      <c r="E149" s="955"/>
      <c r="F149" s="955"/>
      <c r="G149" s="955"/>
      <c r="H149" s="955"/>
      <c r="I149" s="955"/>
      <c r="J149" s="955"/>
      <c r="K149" s="955"/>
      <c r="L149" s="955"/>
      <c r="M149" s="955"/>
      <c r="N149" s="955"/>
      <c r="O149" s="955"/>
      <c r="P149" s="976"/>
    </row>
    <row r="150" spans="2:16" x14ac:dyDescent="0.2">
      <c r="B150" s="947" t="str">
        <f t="shared" ref="B150:B161" si="48">B13</f>
        <v>Producto o servicio 1</v>
      </c>
      <c r="C150" s="1015"/>
      <c r="D150" s="831">
        <f>'Previsión de negocio'!D94*'Previsión de negocio'!D97</f>
        <v>0</v>
      </c>
      <c r="E150" s="831">
        <f>'Previsión de negocio'!E94*'Previsión de negocio'!E97</f>
        <v>0</v>
      </c>
      <c r="F150" s="831">
        <f>'Previsión de negocio'!F94*'Previsión de negocio'!F97</f>
        <v>0</v>
      </c>
      <c r="G150" s="831">
        <f>'Previsión de negocio'!G94*'Previsión de negocio'!G97</f>
        <v>0</v>
      </c>
      <c r="H150" s="831">
        <f>'Previsión de negocio'!H94*'Previsión de negocio'!H97</f>
        <v>0</v>
      </c>
      <c r="I150" s="831">
        <f>'Previsión de negocio'!I94*'Previsión de negocio'!I97</f>
        <v>0</v>
      </c>
      <c r="J150" s="831">
        <f>'Previsión de negocio'!J94*'Previsión de negocio'!J97</f>
        <v>0</v>
      </c>
      <c r="K150" s="831">
        <f>'Previsión de negocio'!K94*'Previsión de negocio'!K97</f>
        <v>0</v>
      </c>
      <c r="L150" s="831">
        <f>'Previsión de negocio'!L94*'Previsión de negocio'!L97</f>
        <v>0</v>
      </c>
      <c r="M150" s="831">
        <f>'Previsión de negocio'!M94*'Previsión de negocio'!M97</f>
        <v>0</v>
      </c>
      <c r="N150" s="831">
        <f>'Previsión de negocio'!N94*'Previsión de negocio'!N97</f>
        <v>0</v>
      </c>
      <c r="O150" s="831">
        <f>'Previsión de negocio'!O94*'Previsión de negocio'!O97</f>
        <v>0</v>
      </c>
      <c r="P150" s="847">
        <f>SUM(D150:O150)</f>
        <v>0</v>
      </c>
    </row>
    <row r="151" spans="2:16" x14ac:dyDescent="0.2">
      <c r="B151" s="947" t="str">
        <f t="shared" si="48"/>
        <v>Producto o servicio 2</v>
      </c>
      <c r="C151" s="1119"/>
      <c r="D151" s="428">
        <f>'Previsión de negocio'!D100*'Previsión de negocio'!D103</f>
        <v>0</v>
      </c>
      <c r="E151" s="428">
        <f>'Previsión de negocio'!E100*'Previsión de negocio'!E103</f>
        <v>0</v>
      </c>
      <c r="F151" s="428">
        <f>'Previsión de negocio'!F100*'Previsión de negocio'!F103</f>
        <v>0</v>
      </c>
      <c r="G151" s="428">
        <f>'Previsión de negocio'!G100*'Previsión de negocio'!G103</f>
        <v>0</v>
      </c>
      <c r="H151" s="428">
        <f>'Previsión de negocio'!H100*'Previsión de negocio'!H103</f>
        <v>0</v>
      </c>
      <c r="I151" s="428">
        <f>'Previsión de negocio'!I100*'Previsión de negocio'!I103</f>
        <v>0</v>
      </c>
      <c r="J151" s="428">
        <f>'Previsión de negocio'!J100*'Previsión de negocio'!J103</f>
        <v>0</v>
      </c>
      <c r="K151" s="428">
        <f>'Previsión de negocio'!K100*'Previsión de negocio'!K103</f>
        <v>0</v>
      </c>
      <c r="L151" s="428">
        <f>'Previsión de negocio'!L100*'Previsión de negocio'!L103</f>
        <v>0</v>
      </c>
      <c r="M151" s="428">
        <f>'Previsión de negocio'!M100*'Previsión de negocio'!M103</f>
        <v>0</v>
      </c>
      <c r="N151" s="428">
        <f>'Previsión de negocio'!N100*'Previsión de negocio'!N103</f>
        <v>0</v>
      </c>
      <c r="O151" s="428">
        <f>'Previsión de negocio'!O100*'Previsión de negocio'!O103</f>
        <v>0</v>
      </c>
      <c r="P151" s="457">
        <f t="shared" ref="P151:P176" si="49">SUM(D151:O151)</f>
        <v>0</v>
      </c>
    </row>
    <row r="152" spans="2:16" x14ac:dyDescent="0.2">
      <c r="B152" s="947" t="str">
        <f t="shared" si="48"/>
        <v>Producto o servicio 3</v>
      </c>
      <c r="C152" s="1119"/>
      <c r="D152" s="428">
        <f>'Previsión de negocio'!D106*'Previsión de negocio'!D109</f>
        <v>0</v>
      </c>
      <c r="E152" s="428">
        <f>'Previsión de negocio'!E106*'Previsión de negocio'!E109</f>
        <v>0</v>
      </c>
      <c r="F152" s="428">
        <f>'Previsión de negocio'!F106*'Previsión de negocio'!F109</f>
        <v>0</v>
      </c>
      <c r="G152" s="428">
        <f>'Previsión de negocio'!G106*'Previsión de negocio'!G109</f>
        <v>0</v>
      </c>
      <c r="H152" s="428">
        <f>'Previsión de negocio'!H106*'Previsión de negocio'!H109</f>
        <v>0</v>
      </c>
      <c r="I152" s="428">
        <f>'Previsión de negocio'!I106*'Previsión de negocio'!I109</f>
        <v>0</v>
      </c>
      <c r="J152" s="428">
        <f>'Previsión de negocio'!J106*'Previsión de negocio'!J109</f>
        <v>0</v>
      </c>
      <c r="K152" s="428">
        <f>'Previsión de negocio'!K106*'Previsión de negocio'!K109</f>
        <v>0</v>
      </c>
      <c r="L152" s="428">
        <f>'Previsión de negocio'!L106*'Previsión de negocio'!L109</f>
        <v>0</v>
      </c>
      <c r="M152" s="428">
        <f>'Previsión de negocio'!M106*'Previsión de negocio'!M109</f>
        <v>0</v>
      </c>
      <c r="N152" s="428">
        <f>'Previsión de negocio'!N106*'Previsión de negocio'!N109</f>
        <v>0</v>
      </c>
      <c r="O152" s="428">
        <f>'Previsión de negocio'!O106*'Previsión de negocio'!O109</f>
        <v>0</v>
      </c>
      <c r="P152" s="457">
        <f t="shared" si="49"/>
        <v>0</v>
      </c>
    </row>
    <row r="153" spans="2:16" x14ac:dyDescent="0.2">
      <c r="B153" s="947">
        <f t="shared" si="48"/>
        <v>0</v>
      </c>
      <c r="C153" s="1119"/>
      <c r="D153" s="428">
        <f>'Previsión de negocio'!D112*'Previsión de negocio'!D115</f>
        <v>0</v>
      </c>
      <c r="E153" s="428">
        <f>'Previsión de negocio'!E112*'Previsión de negocio'!E115</f>
        <v>0</v>
      </c>
      <c r="F153" s="428">
        <f>'Previsión de negocio'!F112*'Previsión de negocio'!F115</f>
        <v>0</v>
      </c>
      <c r="G153" s="428">
        <f>'Previsión de negocio'!G112*'Previsión de negocio'!G115</f>
        <v>0</v>
      </c>
      <c r="H153" s="428">
        <f>'Previsión de negocio'!H112*'Previsión de negocio'!H115</f>
        <v>0</v>
      </c>
      <c r="I153" s="428">
        <f>'Previsión de negocio'!I112*'Previsión de negocio'!I115</f>
        <v>0</v>
      </c>
      <c r="J153" s="428">
        <f>'Previsión de negocio'!J112*'Previsión de negocio'!J115</f>
        <v>0</v>
      </c>
      <c r="K153" s="428">
        <f>'Previsión de negocio'!K112*'Previsión de negocio'!K115</f>
        <v>0</v>
      </c>
      <c r="L153" s="428">
        <f>'Previsión de negocio'!L112*'Previsión de negocio'!L115</f>
        <v>0</v>
      </c>
      <c r="M153" s="428">
        <f>'Previsión de negocio'!M112*'Previsión de negocio'!M115</f>
        <v>0</v>
      </c>
      <c r="N153" s="428">
        <f>'Previsión de negocio'!N112*'Previsión de negocio'!N115</f>
        <v>0</v>
      </c>
      <c r="O153" s="428">
        <f>'Previsión de negocio'!O112*'Previsión de negocio'!O115</f>
        <v>0</v>
      </c>
      <c r="P153" s="457">
        <f t="shared" si="49"/>
        <v>0</v>
      </c>
    </row>
    <row r="154" spans="2:16" x14ac:dyDescent="0.2">
      <c r="B154" s="947">
        <f t="shared" si="48"/>
        <v>0</v>
      </c>
      <c r="C154" s="1119"/>
      <c r="D154" s="428">
        <f>'Previsión de negocio'!D118*'Previsión de negocio'!D121</f>
        <v>0</v>
      </c>
      <c r="E154" s="428">
        <f>'Previsión de negocio'!E118*'Previsión de negocio'!E121</f>
        <v>0</v>
      </c>
      <c r="F154" s="428">
        <f>'Previsión de negocio'!F118*'Previsión de negocio'!F121</f>
        <v>0</v>
      </c>
      <c r="G154" s="428">
        <f>'Previsión de negocio'!G118*'Previsión de negocio'!G121</f>
        <v>0</v>
      </c>
      <c r="H154" s="428">
        <f>'Previsión de negocio'!H118*'Previsión de negocio'!H121</f>
        <v>0</v>
      </c>
      <c r="I154" s="428">
        <f>'Previsión de negocio'!I118*'Previsión de negocio'!I121</f>
        <v>0</v>
      </c>
      <c r="J154" s="428">
        <f>'Previsión de negocio'!J118*'Previsión de negocio'!J121</f>
        <v>0</v>
      </c>
      <c r="K154" s="428">
        <f>'Previsión de negocio'!K118*'Previsión de negocio'!K121</f>
        <v>0</v>
      </c>
      <c r="L154" s="428">
        <f>'Previsión de negocio'!L118*'Previsión de negocio'!L121</f>
        <v>0</v>
      </c>
      <c r="M154" s="428">
        <f>'Previsión de negocio'!M118*'Previsión de negocio'!M121</f>
        <v>0</v>
      </c>
      <c r="N154" s="428">
        <f>'Previsión de negocio'!N118*'Previsión de negocio'!N121</f>
        <v>0</v>
      </c>
      <c r="O154" s="428">
        <f>'Previsión de negocio'!O118*'Previsión de negocio'!O121</f>
        <v>0</v>
      </c>
      <c r="P154" s="457">
        <f t="shared" si="49"/>
        <v>0</v>
      </c>
    </row>
    <row r="155" spans="2:16" x14ac:dyDescent="0.2">
      <c r="B155" s="947">
        <f t="shared" si="48"/>
        <v>0</v>
      </c>
      <c r="C155" s="1119"/>
      <c r="D155" s="428">
        <f>'Previsión de negocio'!D124*'Previsión de negocio'!D127</f>
        <v>0</v>
      </c>
      <c r="E155" s="428">
        <f>'Previsión de negocio'!E124*'Previsión de negocio'!E127</f>
        <v>0</v>
      </c>
      <c r="F155" s="428">
        <f>'Previsión de negocio'!F124*'Previsión de negocio'!F127</f>
        <v>0</v>
      </c>
      <c r="G155" s="428">
        <f>'Previsión de negocio'!G124*'Previsión de negocio'!G127</f>
        <v>0</v>
      </c>
      <c r="H155" s="428">
        <f>'Previsión de negocio'!H124*'Previsión de negocio'!H127</f>
        <v>0</v>
      </c>
      <c r="I155" s="428">
        <f>'Previsión de negocio'!I124*'Previsión de negocio'!I127</f>
        <v>0</v>
      </c>
      <c r="J155" s="428">
        <f>'Previsión de negocio'!J124*'Previsión de negocio'!J127</f>
        <v>0</v>
      </c>
      <c r="K155" s="428">
        <f>'Previsión de negocio'!K124*'Previsión de negocio'!K127</f>
        <v>0</v>
      </c>
      <c r="L155" s="428">
        <f>'Previsión de negocio'!L124*'Previsión de negocio'!L127</f>
        <v>0</v>
      </c>
      <c r="M155" s="428">
        <f>'Previsión de negocio'!M124*'Previsión de negocio'!M127</f>
        <v>0</v>
      </c>
      <c r="N155" s="428">
        <f>'Previsión de negocio'!N124*'Previsión de negocio'!N127</f>
        <v>0</v>
      </c>
      <c r="O155" s="428">
        <f>'Previsión de negocio'!O124*'Previsión de negocio'!O127</f>
        <v>0</v>
      </c>
      <c r="P155" s="457">
        <f t="shared" si="49"/>
        <v>0</v>
      </c>
    </row>
    <row r="156" spans="2:16" x14ac:dyDescent="0.2">
      <c r="B156" s="947">
        <f t="shared" si="48"/>
        <v>0</v>
      </c>
      <c r="C156" s="1119"/>
      <c r="D156" s="428">
        <f>'Previsión de negocio'!D130*'Previsión de negocio'!D133</f>
        <v>0</v>
      </c>
      <c r="E156" s="428">
        <f>'Previsión de negocio'!E130*'Previsión de negocio'!E133</f>
        <v>0</v>
      </c>
      <c r="F156" s="428">
        <f>'Previsión de negocio'!F130*'Previsión de negocio'!F133</f>
        <v>0</v>
      </c>
      <c r="G156" s="428">
        <f>'Previsión de negocio'!G130*'Previsión de negocio'!G133</f>
        <v>0</v>
      </c>
      <c r="H156" s="428">
        <f>'Previsión de negocio'!H130*'Previsión de negocio'!H133</f>
        <v>0</v>
      </c>
      <c r="I156" s="428">
        <f>'Previsión de negocio'!I130*'Previsión de negocio'!I133</f>
        <v>0</v>
      </c>
      <c r="J156" s="428">
        <f>'Previsión de negocio'!J130*'Previsión de negocio'!J133</f>
        <v>0</v>
      </c>
      <c r="K156" s="428">
        <f>'Previsión de negocio'!K130*'Previsión de negocio'!K133</f>
        <v>0</v>
      </c>
      <c r="L156" s="428">
        <f>'Previsión de negocio'!L130*'Previsión de negocio'!L133</f>
        <v>0</v>
      </c>
      <c r="M156" s="428">
        <f>'Previsión de negocio'!M130*'Previsión de negocio'!M133</f>
        <v>0</v>
      </c>
      <c r="N156" s="428">
        <f>'Previsión de negocio'!N130*'Previsión de negocio'!N133</f>
        <v>0</v>
      </c>
      <c r="O156" s="428">
        <f>'Previsión de negocio'!O130*'Previsión de negocio'!O133</f>
        <v>0</v>
      </c>
      <c r="P156" s="457">
        <f t="shared" si="49"/>
        <v>0</v>
      </c>
    </row>
    <row r="157" spans="2:16" x14ac:dyDescent="0.2">
      <c r="B157" s="947">
        <f t="shared" si="48"/>
        <v>0</v>
      </c>
      <c r="C157" s="1119"/>
      <c r="D157" s="428">
        <f>'Previsión de negocio'!D136*'Previsión de negocio'!D139</f>
        <v>0</v>
      </c>
      <c r="E157" s="428">
        <f>'Previsión de negocio'!E136*'Previsión de negocio'!E139</f>
        <v>0</v>
      </c>
      <c r="F157" s="428">
        <f>'Previsión de negocio'!F136*'Previsión de negocio'!F139</f>
        <v>0</v>
      </c>
      <c r="G157" s="428">
        <f>'Previsión de negocio'!G136*'Previsión de negocio'!G139</f>
        <v>0</v>
      </c>
      <c r="H157" s="428">
        <f>'Previsión de negocio'!H136*'Previsión de negocio'!H139</f>
        <v>0</v>
      </c>
      <c r="I157" s="428">
        <f>'Previsión de negocio'!I136*'Previsión de negocio'!I139</f>
        <v>0</v>
      </c>
      <c r="J157" s="428">
        <f>'Previsión de negocio'!J136*'Previsión de negocio'!J139</f>
        <v>0</v>
      </c>
      <c r="K157" s="428">
        <f>'Previsión de negocio'!K136*'Previsión de negocio'!K139</f>
        <v>0</v>
      </c>
      <c r="L157" s="428">
        <f>'Previsión de negocio'!L136*'Previsión de negocio'!L139</f>
        <v>0</v>
      </c>
      <c r="M157" s="428">
        <f>'Previsión de negocio'!M136*'Previsión de negocio'!M139</f>
        <v>0</v>
      </c>
      <c r="N157" s="428">
        <f>'Previsión de negocio'!N136*'Previsión de negocio'!N139</f>
        <v>0</v>
      </c>
      <c r="O157" s="428">
        <f>'Previsión de negocio'!O136*'Previsión de negocio'!O139</f>
        <v>0</v>
      </c>
      <c r="P157" s="457">
        <f t="shared" si="49"/>
        <v>0</v>
      </c>
    </row>
    <row r="158" spans="2:16" x14ac:dyDescent="0.2">
      <c r="B158" s="947">
        <f t="shared" si="48"/>
        <v>0</v>
      </c>
      <c r="C158" s="1119"/>
      <c r="D158" s="428">
        <f>'Previsión de negocio'!D142*'Previsión de negocio'!D145</f>
        <v>0</v>
      </c>
      <c r="E158" s="428">
        <f>'Previsión de negocio'!E142*'Previsión de negocio'!E145</f>
        <v>0</v>
      </c>
      <c r="F158" s="428">
        <f>'Previsión de negocio'!F142*'Previsión de negocio'!F145</f>
        <v>0</v>
      </c>
      <c r="G158" s="428">
        <f>'Previsión de negocio'!G142*'Previsión de negocio'!G145</f>
        <v>0</v>
      </c>
      <c r="H158" s="428">
        <f>'Previsión de negocio'!H142*'Previsión de negocio'!H145</f>
        <v>0</v>
      </c>
      <c r="I158" s="428">
        <f>'Previsión de negocio'!I142*'Previsión de negocio'!I145</f>
        <v>0</v>
      </c>
      <c r="J158" s="428">
        <f>'Previsión de negocio'!J142*'Previsión de negocio'!J145</f>
        <v>0</v>
      </c>
      <c r="K158" s="428">
        <f>'Previsión de negocio'!K142*'Previsión de negocio'!K145</f>
        <v>0</v>
      </c>
      <c r="L158" s="428">
        <f>'Previsión de negocio'!L142*'Previsión de negocio'!L145</f>
        <v>0</v>
      </c>
      <c r="M158" s="428">
        <f>'Previsión de negocio'!M142*'Previsión de negocio'!M145</f>
        <v>0</v>
      </c>
      <c r="N158" s="428">
        <f>'Previsión de negocio'!N142*'Previsión de negocio'!N145</f>
        <v>0</v>
      </c>
      <c r="O158" s="428">
        <f>'Previsión de negocio'!O142*'Previsión de negocio'!O145</f>
        <v>0</v>
      </c>
      <c r="P158" s="457">
        <f t="shared" si="49"/>
        <v>0</v>
      </c>
    </row>
    <row r="159" spans="2:16" x14ac:dyDescent="0.2">
      <c r="B159" s="947">
        <f t="shared" si="48"/>
        <v>0</v>
      </c>
      <c r="C159" s="1119"/>
      <c r="D159" s="428">
        <f>'Previsión de negocio'!D148*'Previsión de negocio'!D151</f>
        <v>0</v>
      </c>
      <c r="E159" s="428">
        <f>'Previsión de negocio'!E148*'Previsión de negocio'!E151</f>
        <v>0</v>
      </c>
      <c r="F159" s="428">
        <f>'Previsión de negocio'!F148*'Previsión de negocio'!F151</f>
        <v>0</v>
      </c>
      <c r="G159" s="428">
        <f>'Previsión de negocio'!G148*'Previsión de negocio'!G151</f>
        <v>0</v>
      </c>
      <c r="H159" s="428">
        <f>'Previsión de negocio'!H148*'Previsión de negocio'!H151</f>
        <v>0</v>
      </c>
      <c r="I159" s="428">
        <f>'Previsión de negocio'!I148*'Previsión de negocio'!I151</f>
        <v>0</v>
      </c>
      <c r="J159" s="428">
        <f>'Previsión de negocio'!J148*'Previsión de negocio'!J151</f>
        <v>0</v>
      </c>
      <c r="K159" s="428">
        <f>'Previsión de negocio'!K148*'Previsión de negocio'!K151</f>
        <v>0</v>
      </c>
      <c r="L159" s="428">
        <f>'Previsión de negocio'!L148*'Previsión de negocio'!L151</f>
        <v>0</v>
      </c>
      <c r="M159" s="428">
        <f>'Previsión de negocio'!M148*'Previsión de negocio'!M151</f>
        <v>0</v>
      </c>
      <c r="N159" s="428">
        <f>'Previsión de negocio'!N148*'Previsión de negocio'!N151</f>
        <v>0</v>
      </c>
      <c r="O159" s="428">
        <f>'Previsión de negocio'!O148*'Previsión de negocio'!O151</f>
        <v>0</v>
      </c>
      <c r="P159" s="457">
        <f t="shared" si="49"/>
        <v>0</v>
      </c>
    </row>
    <row r="160" spans="2:16" s="1" customFormat="1" x14ac:dyDescent="0.2">
      <c r="B160" s="850" t="str">
        <f t="shared" si="48"/>
        <v>Total</v>
      </c>
      <c r="C160" s="1120"/>
      <c r="D160" s="295">
        <f>SUM(D150:D159)</f>
        <v>0</v>
      </c>
      <c r="E160" s="295">
        <f t="shared" ref="E160:O160" si="50">SUM(E150:E159)</f>
        <v>0</v>
      </c>
      <c r="F160" s="295">
        <f t="shared" si="50"/>
        <v>0</v>
      </c>
      <c r="G160" s="295">
        <f t="shared" si="50"/>
        <v>0</v>
      </c>
      <c r="H160" s="295">
        <f t="shared" si="50"/>
        <v>0</v>
      </c>
      <c r="I160" s="295">
        <f t="shared" si="50"/>
        <v>0</v>
      </c>
      <c r="J160" s="295">
        <f t="shared" si="50"/>
        <v>0</v>
      </c>
      <c r="K160" s="295">
        <f t="shared" si="50"/>
        <v>0</v>
      </c>
      <c r="L160" s="295">
        <f t="shared" si="50"/>
        <v>0</v>
      </c>
      <c r="M160" s="295">
        <f t="shared" si="50"/>
        <v>0</v>
      </c>
      <c r="N160" s="295">
        <f t="shared" si="50"/>
        <v>0</v>
      </c>
      <c r="O160" s="639">
        <f t="shared" si="50"/>
        <v>0</v>
      </c>
      <c r="P160" s="457">
        <f t="shared" si="49"/>
        <v>0</v>
      </c>
    </row>
    <row r="161" spans="2:17" x14ac:dyDescent="0.2">
      <c r="B161" s="956" t="str">
        <f t="shared" si="48"/>
        <v>IVA</v>
      </c>
      <c r="C161" s="848"/>
      <c r="D161" s="846">
        <f>IF('Datos generales'!$D$22&lt;=0,'Datos generales'!$D$16*D160,0)</f>
        <v>0</v>
      </c>
      <c r="E161" s="299">
        <f>IF('Datos generales'!$D$22&lt;=0,'Datos generales'!$D$16*E160,0)</f>
        <v>0</v>
      </c>
      <c r="F161" s="299">
        <f>IF('Datos generales'!$D$22&lt;=0,'Datos generales'!$D$16*F160,0)</f>
        <v>0</v>
      </c>
      <c r="G161" s="299">
        <f>IF('Datos generales'!$D$22&lt;=0,'Datos generales'!$D$16*G160,0)</f>
        <v>0</v>
      </c>
      <c r="H161" s="299">
        <f>IF('Datos generales'!$D$22&lt;=0,'Datos generales'!$D$16*H160,0)</f>
        <v>0</v>
      </c>
      <c r="I161" s="299">
        <f>IF('Datos generales'!$D$22&lt;=0,'Datos generales'!$D$16*I160,0)</f>
        <v>0</v>
      </c>
      <c r="J161" s="299">
        <f>IF('Datos generales'!$D$22&lt;=0,'Datos generales'!$D$16*J160,0)</f>
        <v>0</v>
      </c>
      <c r="K161" s="299">
        <f>IF('Datos generales'!$D$22&lt;=0,'Datos generales'!$D$16*K160,0)</f>
        <v>0</v>
      </c>
      <c r="L161" s="299">
        <f>IF('Datos generales'!$D$22&lt;=0,'Datos generales'!$D$16*L160,0)</f>
        <v>0</v>
      </c>
      <c r="M161" s="299">
        <f>IF('Datos generales'!$D$22&lt;=0,'Datos generales'!$D$16*M160,0)</f>
        <v>0</v>
      </c>
      <c r="N161" s="299">
        <f>IF('Datos generales'!$D$22&lt;=0,'Datos generales'!$D$16*N160,0)</f>
        <v>0</v>
      </c>
      <c r="O161" s="501">
        <f>IF('Datos generales'!$D$22&lt;=0,'Datos generales'!$D$16*O160,0)</f>
        <v>0</v>
      </c>
      <c r="P161" s="457">
        <f t="shared" si="49"/>
        <v>0</v>
      </c>
    </row>
    <row r="162" spans="2:17" x14ac:dyDescent="0.2">
      <c r="B162" s="430" t="s">
        <v>724</v>
      </c>
      <c r="C162" s="201"/>
      <c r="D162" s="377">
        <f t="shared" ref="D162:O162" si="51">D160+D161</f>
        <v>0</v>
      </c>
      <c r="E162" s="201">
        <f t="shared" si="51"/>
        <v>0</v>
      </c>
      <c r="F162" s="201">
        <f t="shared" si="51"/>
        <v>0</v>
      </c>
      <c r="G162" s="201">
        <f t="shared" si="51"/>
        <v>0</v>
      </c>
      <c r="H162" s="201">
        <f t="shared" si="51"/>
        <v>0</v>
      </c>
      <c r="I162" s="201">
        <f t="shared" si="51"/>
        <v>0</v>
      </c>
      <c r="J162" s="201">
        <f t="shared" si="51"/>
        <v>0</v>
      </c>
      <c r="K162" s="201">
        <f t="shared" si="51"/>
        <v>0</v>
      </c>
      <c r="L162" s="201">
        <f t="shared" si="51"/>
        <v>0</v>
      </c>
      <c r="M162" s="201">
        <f t="shared" si="51"/>
        <v>0</v>
      </c>
      <c r="N162" s="201">
        <f t="shared" si="51"/>
        <v>0</v>
      </c>
      <c r="O162" s="348">
        <f t="shared" si="51"/>
        <v>0</v>
      </c>
      <c r="P162" s="371">
        <f t="shared" si="49"/>
        <v>0</v>
      </c>
    </row>
    <row r="163" spans="2:17" ht="24.75" customHeight="1" x14ac:dyDescent="0.2">
      <c r="B163" s="1462" t="s">
        <v>725</v>
      </c>
      <c r="C163" s="1466"/>
      <c r="D163" s="971"/>
      <c r="E163" s="61"/>
      <c r="F163" s="61"/>
      <c r="G163" s="61"/>
      <c r="H163" s="61"/>
      <c r="I163" s="61"/>
      <c r="J163" s="61"/>
      <c r="K163" s="61"/>
      <c r="L163" s="61"/>
      <c r="M163" s="61"/>
      <c r="N163" s="61"/>
      <c r="O163" s="849"/>
      <c r="P163" s="851"/>
    </row>
    <row r="164" spans="2:17" x14ac:dyDescent="0.2">
      <c r="B164" s="947" t="str">
        <f>B13</f>
        <v>Producto o servicio 1</v>
      </c>
      <c r="C164" s="61"/>
      <c r="D164" s="1049">
        <f>'Previsión de negocio'!D98</f>
        <v>0</v>
      </c>
      <c r="E164" s="831">
        <f>'Previsión de negocio'!E98</f>
        <v>0</v>
      </c>
      <c r="F164" s="831">
        <f>'Previsión de negocio'!F98</f>
        <v>0</v>
      </c>
      <c r="G164" s="831">
        <f>'Previsión de negocio'!G98</f>
        <v>0</v>
      </c>
      <c r="H164" s="831">
        <f>'Previsión de negocio'!H98</f>
        <v>0</v>
      </c>
      <c r="I164" s="831">
        <f>'Previsión de negocio'!I98</f>
        <v>0</v>
      </c>
      <c r="J164" s="831">
        <f>'Previsión de negocio'!J98</f>
        <v>0</v>
      </c>
      <c r="K164" s="831">
        <f>'Previsión de negocio'!K98</f>
        <v>0</v>
      </c>
      <c r="L164" s="831">
        <f>'Previsión de negocio'!L98</f>
        <v>0</v>
      </c>
      <c r="M164" s="831">
        <f>'Previsión de negocio'!M98</f>
        <v>0</v>
      </c>
      <c r="N164" s="831">
        <f>'Previsión de negocio'!N98</f>
        <v>0</v>
      </c>
      <c r="O164" s="831">
        <f>'Previsión de negocio'!O98</f>
        <v>0</v>
      </c>
      <c r="P164" s="847">
        <f t="shared" si="49"/>
        <v>0</v>
      </c>
    </row>
    <row r="165" spans="2:17" x14ac:dyDescent="0.2">
      <c r="B165" s="947" t="str">
        <f t="shared" ref="B165:B175" si="52">B14</f>
        <v>Producto o servicio 2</v>
      </c>
      <c r="C165" s="61"/>
      <c r="D165" s="1049">
        <f>'Previsión de negocio'!D104</f>
        <v>0</v>
      </c>
      <c r="E165" s="831">
        <f>'Previsión de negocio'!E104</f>
        <v>0</v>
      </c>
      <c r="F165" s="831">
        <f>'Previsión de negocio'!F104</f>
        <v>0</v>
      </c>
      <c r="G165" s="831">
        <f>'Previsión de negocio'!G104</f>
        <v>0</v>
      </c>
      <c r="H165" s="831">
        <f>'Previsión de negocio'!H104</f>
        <v>0</v>
      </c>
      <c r="I165" s="831">
        <f>'Previsión de negocio'!I104</f>
        <v>0</v>
      </c>
      <c r="J165" s="831">
        <f>'Previsión de negocio'!J104</f>
        <v>0</v>
      </c>
      <c r="K165" s="831">
        <f>'Previsión de negocio'!K104</f>
        <v>0</v>
      </c>
      <c r="L165" s="831">
        <f>'Previsión de negocio'!L104</f>
        <v>0</v>
      </c>
      <c r="M165" s="831">
        <f>'Previsión de negocio'!M104</f>
        <v>0</v>
      </c>
      <c r="N165" s="831">
        <f>'Previsión de negocio'!N104</f>
        <v>0</v>
      </c>
      <c r="O165" s="831">
        <f>'Previsión de negocio'!O104</f>
        <v>0</v>
      </c>
      <c r="P165" s="847">
        <f t="shared" si="49"/>
        <v>0</v>
      </c>
    </row>
    <row r="166" spans="2:17" x14ac:dyDescent="0.2">
      <c r="B166" s="947" t="str">
        <f t="shared" si="52"/>
        <v>Producto o servicio 3</v>
      </c>
      <c r="C166" s="61"/>
      <c r="D166" s="1049">
        <f>'Previsión de negocio'!D110</f>
        <v>0</v>
      </c>
      <c r="E166" s="831">
        <f>'Previsión de negocio'!E110</f>
        <v>0</v>
      </c>
      <c r="F166" s="831">
        <f>'Previsión de negocio'!F110</f>
        <v>0</v>
      </c>
      <c r="G166" s="831">
        <f>'Previsión de negocio'!G110</f>
        <v>0</v>
      </c>
      <c r="H166" s="831">
        <f>'Previsión de negocio'!H110</f>
        <v>0</v>
      </c>
      <c r="I166" s="831">
        <f>'Previsión de negocio'!I110</f>
        <v>0</v>
      </c>
      <c r="J166" s="831">
        <f>'Previsión de negocio'!J110</f>
        <v>0</v>
      </c>
      <c r="K166" s="831">
        <f>'Previsión de negocio'!K110</f>
        <v>0</v>
      </c>
      <c r="L166" s="831">
        <f>'Previsión de negocio'!L110</f>
        <v>0</v>
      </c>
      <c r="M166" s="831">
        <f>'Previsión de negocio'!M110</f>
        <v>0</v>
      </c>
      <c r="N166" s="831">
        <f>'Previsión de negocio'!N110</f>
        <v>0</v>
      </c>
      <c r="O166" s="831">
        <f>'Previsión de negocio'!O110</f>
        <v>0</v>
      </c>
      <c r="P166" s="847">
        <f t="shared" si="49"/>
        <v>0</v>
      </c>
    </row>
    <row r="167" spans="2:17" x14ac:dyDescent="0.2">
      <c r="B167" s="947">
        <f t="shared" si="52"/>
        <v>0</v>
      </c>
      <c r="C167" s="61"/>
      <c r="D167" s="1049">
        <f>'Previsión de negocio'!D116</f>
        <v>0</v>
      </c>
      <c r="E167" s="831">
        <f>'Previsión de negocio'!E116</f>
        <v>0</v>
      </c>
      <c r="F167" s="831">
        <f>'Previsión de negocio'!F116</f>
        <v>0</v>
      </c>
      <c r="G167" s="831">
        <f>'Previsión de negocio'!G116</f>
        <v>0</v>
      </c>
      <c r="H167" s="831">
        <f>'Previsión de negocio'!H116</f>
        <v>0</v>
      </c>
      <c r="I167" s="831">
        <f>'Previsión de negocio'!I116</f>
        <v>0</v>
      </c>
      <c r="J167" s="831">
        <f>'Previsión de negocio'!J116</f>
        <v>0</v>
      </c>
      <c r="K167" s="831">
        <f>'Previsión de negocio'!K116</f>
        <v>0</v>
      </c>
      <c r="L167" s="831">
        <f>'Previsión de negocio'!L116</f>
        <v>0</v>
      </c>
      <c r="M167" s="831">
        <f>'Previsión de negocio'!M116</f>
        <v>0</v>
      </c>
      <c r="N167" s="831">
        <f>'Previsión de negocio'!N116</f>
        <v>0</v>
      </c>
      <c r="O167" s="831">
        <f>'Previsión de negocio'!O116</f>
        <v>0</v>
      </c>
      <c r="P167" s="847">
        <f t="shared" si="49"/>
        <v>0</v>
      </c>
    </row>
    <row r="168" spans="2:17" x14ac:dyDescent="0.2">
      <c r="B168" s="947">
        <f t="shared" si="52"/>
        <v>0</v>
      </c>
      <c r="C168" s="61"/>
      <c r="D168" s="1049">
        <f>'Previsión de negocio'!D122</f>
        <v>0</v>
      </c>
      <c r="E168" s="831">
        <f>'Previsión de negocio'!E122</f>
        <v>0</v>
      </c>
      <c r="F168" s="831">
        <f>'Previsión de negocio'!F122</f>
        <v>0</v>
      </c>
      <c r="G168" s="831">
        <f>'Previsión de negocio'!G122</f>
        <v>0</v>
      </c>
      <c r="H168" s="831">
        <f>'Previsión de negocio'!H122</f>
        <v>0</v>
      </c>
      <c r="I168" s="831">
        <f>'Previsión de negocio'!I122</f>
        <v>0</v>
      </c>
      <c r="J168" s="831">
        <f>'Previsión de negocio'!J122</f>
        <v>0</v>
      </c>
      <c r="K168" s="831">
        <f>'Previsión de negocio'!K122</f>
        <v>0</v>
      </c>
      <c r="L168" s="831">
        <f>'Previsión de negocio'!L122</f>
        <v>0</v>
      </c>
      <c r="M168" s="831">
        <f>'Previsión de negocio'!M122</f>
        <v>0</v>
      </c>
      <c r="N168" s="831">
        <f>'Previsión de negocio'!N122</f>
        <v>0</v>
      </c>
      <c r="O168" s="831">
        <f>'Previsión de negocio'!O122</f>
        <v>0</v>
      </c>
      <c r="P168" s="847">
        <f t="shared" si="49"/>
        <v>0</v>
      </c>
    </row>
    <row r="169" spans="2:17" x14ac:dyDescent="0.2">
      <c r="B169" s="947">
        <f t="shared" si="52"/>
        <v>0</v>
      </c>
      <c r="C169" s="61"/>
      <c r="D169" s="1049">
        <f>'Previsión de negocio'!D128</f>
        <v>0</v>
      </c>
      <c r="E169" s="831">
        <f>'Previsión de negocio'!E128</f>
        <v>0</v>
      </c>
      <c r="F169" s="831">
        <f>'Previsión de negocio'!F128</f>
        <v>0</v>
      </c>
      <c r="G169" s="831">
        <f>'Previsión de negocio'!G128</f>
        <v>0</v>
      </c>
      <c r="H169" s="831">
        <f>'Previsión de negocio'!H128</f>
        <v>0</v>
      </c>
      <c r="I169" s="831">
        <f>'Previsión de negocio'!I128</f>
        <v>0</v>
      </c>
      <c r="J169" s="831">
        <f>'Previsión de negocio'!J128</f>
        <v>0</v>
      </c>
      <c r="K169" s="831">
        <f>'Previsión de negocio'!K128</f>
        <v>0</v>
      </c>
      <c r="L169" s="831">
        <f>'Previsión de negocio'!L128</f>
        <v>0</v>
      </c>
      <c r="M169" s="831">
        <f>'Previsión de negocio'!M128</f>
        <v>0</v>
      </c>
      <c r="N169" s="831">
        <f>'Previsión de negocio'!N128</f>
        <v>0</v>
      </c>
      <c r="O169" s="831">
        <f>'Previsión de negocio'!O128</f>
        <v>0</v>
      </c>
      <c r="P169" s="847">
        <f t="shared" si="49"/>
        <v>0</v>
      </c>
    </row>
    <row r="170" spans="2:17" x14ac:dyDescent="0.2">
      <c r="B170" s="947">
        <f t="shared" si="52"/>
        <v>0</v>
      </c>
      <c r="C170" s="61"/>
      <c r="D170" s="1049">
        <f>'Previsión de negocio'!D134</f>
        <v>0</v>
      </c>
      <c r="E170" s="831">
        <f>'Previsión de negocio'!E134</f>
        <v>0</v>
      </c>
      <c r="F170" s="831">
        <f>'Previsión de negocio'!F134</f>
        <v>0</v>
      </c>
      <c r="G170" s="831">
        <f>'Previsión de negocio'!G134</f>
        <v>0</v>
      </c>
      <c r="H170" s="831">
        <f>'Previsión de negocio'!H134</f>
        <v>0</v>
      </c>
      <c r="I170" s="831">
        <f>'Previsión de negocio'!I134</f>
        <v>0</v>
      </c>
      <c r="J170" s="831">
        <f>'Previsión de negocio'!J134</f>
        <v>0</v>
      </c>
      <c r="K170" s="831">
        <f>'Previsión de negocio'!K134</f>
        <v>0</v>
      </c>
      <c r="L170" s="831">
        <f>'Previsión de negocio'!L134</f>
        <v>0</v>
      </c>
      <c r="M170" s="831">
        <f>'Previsión de negocio'!M134</f>
        <v>0</v>
      </c>
      <c r="N170" s="831">
        <f>'Previsión de negocio'!N134</f>
        <v>0</v>
      </c>
      <c r="O170" s="831">
        <f>'Previsión de negocio'!O134</f>
        <v>0</v>
      </c>
      <c r="P170" s="847">
        <f t="shared" si="49"/>
        <v>0</v>
      </c>
    </row>
    <row r="171" spans="2:17" x14ac:dyDescent="0.2">
      <c r="B171" s="947">
        <f t="shared" si="52"/>
        <v>0</v>
      </c>
      <c r="C171" s="61"/>
      <c r="D171" s="1049">
        <f>'Previsión de negocio'!D140</f>
        <v>0</v>
      </c>
      <c r="E171" s="831">
        <f>'Previsión de negocio'!E140</f>
        <v>0</v>
      </c>
      <c r="F171" s="831">
        <f>'Previsión de negocio'!F140</f>
        <v>0</v>
      </c>
      <c r="G171" s="831">
        <f>'Previsión de negocio'!G140</f>
        <v>0</v>
      </c>
      <c r="H171" s="831">
        <f>'Previsión de negocio'!H140</f>
        <v>0</v>
      </c>
      <c r="I171" s="831">
        <f>'Previsión de negocio'!I140</f>
        <v>0</v>
      </c>
      <c r="J171" s="831">
        <f>'Previsión de negocio'!J140</f>
        <v>0</v>
      </c>
      <c r="K171" s="831">
        <f>'Previsión de negocio'!K140</f>
        <v>0</v>
      </c>
      <c r="L171" s="831">
        <f>'Previsión de negocio'!L140</f>
        <v>0</v>
      </c>
      <c r="M171" s="831">
        <f>'Previsión de negocio'!M140</f>
        <v>0</v>
      </c>
      <c r="N171" s="831">
        <f>'Previsión de negocio'!N140</f>
        <v>0</v>
      </c>
      <c r="O171" s="831">
        <f>'Previsión de negocio'!O140</f>
        <v>0</v>
      </c>
      <c r="P171" s="847">
        <f t="shared" si="49"/>
        <v>0</v>
      </c>
    </row>
    <row r="172" spans="2:17" x14ac:dyDescent="0.2">
      <c r="B172" s="947">
        <f t="shared" si="52"/>
        <v>0</v>
      </c>
      <c r="C172" s="61"/>
      <c r="D172" s="1049">
        <f>'Previsión de negocio'!D146</f>
        <v>0</v>
      </c>
      <c r="E172" s="831">
        <f>'Previsión de negocio'!E146</f>
        <v>0</v>
      </c>
      <c r="F172" s="831">
        <f>'Previsión de negocio'!F146</f>
        <v>0</v>
      </c>
      <c r="G172" s="831">
        <f>'Previsión de negocio'!G146</f>
        <v>0</v>
      </c>
      <c r="H172" s="831">
        <f>'Previsión de negocio'!H146</f>
        <v>0</v>
      </c>
      <c r="I172" s="831">
        <f>'Previsión de negocio'!I146</f>
        <v>0</v>
      </c>
      <c r="J172" s="831">
        <f>'Previsión de negocio'!J146</f>
        <v>0</v>
      </c>
      <c r="K172" s="831">
        <f>'Previsión de negocio'!K146</f>
        <v>0</v>
      </c>
      <c r="L172" s="831">
        <f>'Previsión de negocio'!L146</f>
        <v>0</v>
      </c>
      <c r="M172" s="831">
        <f>'Previsión de negocio'!M146</f>
        <v>0</v>
      </c>
      <c r="N172" s="831">
        <f>'Previsión de negocio'!N146</f>
        <v>0</v>
      </c>
      <c r="O172" s="831">
        <f>'Previsión de negocio'!O146</f>
        <v>0</v>
      </c>
      <c r="P172" s="847">
        <f t="shared" si="49"/>
        <v>0</v>
      </c>
    </row>
    <row r="173" spans="2:17" x14ac:dyDescent="0.2">
      <c r="B173" s="947">
        <f t="shared" si="52"/>
        <v>0</v>
      </c>
      <c r="C173" s="61"/>
      <c r="D173" s="1049">
        <f>'Previsión de negocio'!D152</f>
        <v>0</v>
      </c>
      <c r="E173" s="831">
        <f>'Previsión de negocio'!E152</f>
        <v>0</v>
      </c>
      <c r="F173" s="831">
        <f>'Previsión de negocio'!F152</f>
        <v>0</v>
      </c>
      <c r="G173" s="831">
        <f>'Previsión de negocio'!G152</f>
        <v>0</v>
      </c>
      <c r="H173" s="831">
        <f>'Previsión de negocio'!H152</f>
        <v>0</v>
      </c>
      <c r="I173" s="831">
        <f>'Previsión de negocio'!I152</f>
        <v>0</v>
      </c>
      <c r="J173" s="831">
        <f>'Previsión de negocio'!J152</f>
        <v>0</v>
      </c>
      <c r="K173" s="831">
        <f>'Previsión de negocio'!K152</f>
        <v>0</v>
      </c>
      <c r="L173" s="831">
        <f>'Previsión de negocio'!L152</f>
        <v>0</v>
      </c>
      <c r="M173" s="831">
        <f>'Previsión de negocio'!M152</f>
        <v>0</v>
      </c>
      <c r="N173" s="831">
        <f>'Previsión de negocio'!N152</f>
        <v>0</v>
      </c>
      <c r="O173" s="831">
        <f>'Previsión de negocio'!O152</f>
        <v>0</v>
      </c>
      <c r="P173" s="847">
        <f t="shared" si="49"/>
        <v>0</v>
      </c>
    </row>
    <row r="174" spans="2:17" x14ac:dyDescent="0.2">
      <c r="B174" s="850" t="str">
        <f t="shared" si="52"/>
        <v>Total</v>
      </c>
      <c r="C174" s="61"/>
      <c r="D174" s="935">
        <f>SUM(D164:D173)</f>
        <v>0</v>
      </c>
      <c r="E174" s="295">
        <f t="shared" ref="E174:O174" si="53">SUM(E164:E173)</f>
        <v>0</v>
      </c>
      <c r="F174" s="295">
        <f t="shared" si="53"/>
        <v>0</v>
      </c>
      <c r="G174" s="295">
        <f t="shared" si="53"/>
        <v>0</v>
      </c>
      <c r="H174" s="295">
        <f t="shared" si="53"/>
        <v>0</v>
      </c>
      <c r="I174" s="295">
        <f t="shared" si="53"/>
        <v>0</v>
      </c>
      <c r="J174" s="295">
        <f t="shared" si="53"/>
        <v>0</v>
      </c>
      <c r="K174" s="295">
        <f t="shared" si="53"/>
        <v>0</v>
      </c>
      <c r="L174" s="295">
        <f t="shared" si="53"/>
        <v>0</v>
      </c>
      <c r="M174" s="295">
        <f t="shared" si="53"/>
        <v>0</v>
      </c>
      <c r="N174" s="295">
        <f t="shared" si="53"/>
        <v>0</v>
      </c>
      <c r="O174" s="639">
        <f t="shared" si="53"/>
        <v>0</v>
      </c>
      <c r="P174" s="457">
        <f t="shared" si="49"/>
        <v>0</v>
      </c>
      <c r="Q174" s="1"/>
    </row>
    <row r="175" spans="2:17" x14ac:dyDescent="0.2">
      <c r="B175" s="947" t="str">
        <f t="shared" si="52"/>
        <v>IVA</v>
      </c>
      <c r="C175" s="61"/>
      <c r="D175" s="500">
        <f>IF('Datos generales'!$D$22&lt;=0,'Datos generales'!$D$19*D174,0)</f>
        <v>0</v>
      </c>
      <c r="E175" s="500">
        <f>IF('Datos generales'!$D$22&lt;=0,'Datos generales'!$D$19*E174,0)</f>
        <v>0</v>
      </c>
      <c r="F175" s="500">
        <f>IF('Datos generales'!$D$22&lt;=0,'Datos generales'!$D$19*F174,0)</f>
        <v>0</v>
      </c>
      <c r="G175" s="500">
        <f>IF('Datos generales'!$D$22&lt;=0,'Datos generales'!$D$19*G174,0)</f>
        <v>0</v>
      </c>
      <c r="H175" s="500">
        <f>IF('Datos generales'!$D$22&lt;=0,'Datos generales'!$D$19*H174,0)</f>
        <v>0</v>
      </c>
      <c r="I175" s="500">
        <f>IF('Datos generales'!$D$22&lt;=0,'Datos generales'!$D$19*I174,0)</f>
        <v>0</v>
      </c>
      <c r="J175" s="500">
        <f>IF('Datos generales'!$D$22&lt;=0,'Datos generales'!$D$19*J174,0)</f>
        <v>0</v>
      </c>
      <c r="K175" s="500">
        <f>IF('Datos generales'!$D$22&lt;=0,'Datos generales'!$D$19*K174,0)</f>
        <v>0</v>
      </c>
      <c r="L175" s="500">
        <f>IF('Datos generales'!$D$22&lt;=0,'Datos generales'!$D$19*L174,0)</f>
        <v>0</v>
      </c>
      <c r="M175" s="500">
        <f>IF('Datos generales'!$D$22&lt;=0,'Datos generales'!$D$19*M174,0)</f>
        <v>0</v>
      </c>
      <c r="N175" s="500">
        <f>IF('Datos generales'!$D$22&lt;=0,'Datos generales'!$D$19*N174,0)</f>
        <v>0</v>
      </c>
      <c r="O175" s="500">
        <f>IF('Datos generales'!$D$22&lt;=0,'Datos generales'!$D$19*O174,0)</f>
        <v>0</v>
      </c>
      <c r="P175" s="457">
        <f t="shared" si="49"/>
        <v>0</v>
      </c>
    </row>
    <row r="176" spans="2:17" ht="28.5" customHeight="1" x14ac:dyDescent="0.2">
      <c r="B176" s="1464" t="s">
        <v>726</v>
      </c>
      <c r="C176" s="1465"/>
      <c r="D176" s="377">
        <f t="shared" ref="D176:O176" si="54">D174+D175</f>
        <v>0</v>
      </c>
      <c r="E176" s="201">
        <f t="shared" si="54"/>
        <v>0</v>
      </c>
      <c r="F176" s="201">
        <f t="shared" si="54"/>
        <v>0</v>
      </c>
      <c r="G176" s="201">
        <f t="shared" si="54"/>
        <v>0</v>
      </c>
      <c r="H176" s="201">
        <f t="shared" si="54"/>
        <v>0</v>
      </c>
      <c r="I176" s="201">
        <f t="shared" si="54"/>
        <v>0</v>
      </c>
      <c r="J176" s="201">
        <f t="shared" si="54"/>
        <v>0</v>
      </c>
      <c r="K176" s="201">
        <f t="shared" si="54"/>
        <v>0</v>
      </c>
      <c r="L176" s="201">
        <f t="shared" si="54"/>
        <v>0</v>
      </c>
      <c r="M176" s="201">
        <f t="shared" si="54"/>
        <v>0</v>
      </c>
      <c r="N176" s="201">
        <f t="shared" si="54"/>
        <v>0</v>
      </c>
      <c r="O176" s="348">
        <f t="shared" si="54"/>
        <v>0</v>
      </c>
      <c r="P176" s="371">
        <f t="shared" si="49"/>
        <v>0</v>
      </c>
    </row>
    <row r="177" spans="2:21" ht="29.25" customHeight="1" x14ac:dyDescent="0.2">
      <c r="B177" s="1460" t="s">
        <v>136</v>
      </c>
      <c r="C177" s="1461"/>
      <c r="D177" s="61"/>
      <c r="E177" s="61"/>
      <c r="F177" s="61"/>
      <c r="G177" s="61"/>
      <c r="H177" s="61"/>
      <c r="I177" s="61"/>
      <c r="J177" s="61"/>
      <c r="K177" s="61"/>
      <c r="L177" s="61"/>
      <c r="M177" s="61"/>
      <c r="N177" s="61"/>
      <c r="O177" s="849"/>
      <c r="P177" s="851"/>
    </row>
    <row r="178" spans="2:21" x14ac:dyDescent="0.2">
      <c r="B178" s="1121" t="str">
        <f t="shared" ref="B178:B185" si="55">B28</f>
        <v>Transporte</v>
      </c>
      <c r="C178" s="1122">
        <f>'Previsión de negocio'!E222</f>
        <v>0.05</v>
      </c>
      <c r="D178" s="846">
        <f>'Presupuesto de ventas'!D$86*$C178</f>
        <v>0</v>
      </c>
      <c r="E178" s="299">
        <f>'Presupuesto de ventas'!E$86*$C178</f>
        <v>0</v>
      </c>
      <c r="F178" s="299">
        <f>'Presupuesto de ventas'!F$86*$C178</f>
        <v>0</v>
      </c>
      <c r="G178" s="299">
        <f>'Presupuesto de ventas'!G$86*$C178</f>
        <v>0</v>
      </c>
      <c r="H178" s="299">
        <f>'Presupuesto de ventas'!H$86*$C178</f>
        <v>0</v>
      </c>
      <c r="I178" s="299">
        <f>'Presupuesto de ventas'!I$86*$C178</f>
        <v>0</v>
      </c>
      <c r="J178" s="299">
        <f>'Presupuesto de ventas'!J$86*$C178</f>
        <v>0</v>
      </c>
      <c r="K178" s="299">
        <f>'Presupuesto de ventas'!K$86*$C178</f>
        <v>0</v>
      </c>
      <c r="L178" s="299">
        <f>'Presupuesto de ventas'!L$86*$C178</f>
        <v>0</v>
      </c>
      <c r="M178" s="299">
        <f>'Presupuesto de ventas'!M$86*$C178</f>
        <v>0</v>
      </c>
      <c r="N178" s="299">
        <f>'Presupuesto de ventas'!N$86*$C178</f>
        <v>0</v>
      </c>
      <c r="O178" s="848">
        <f>'Presupuesto de ventas'!O$86*$C178</f>
        <v>0</v>
      </c>
      <c r="P178" s="847">
        <f t="shared" ref="P178:P186" si="56">SUM(D178:O178)</f>
        <v>0</v>
      </c>
    </row>
    <row r="179" spans="2:21" x14ac:dyDescent="0.2">
      <c r="B179" s="1121" t="str">
        <f t="shared" si="55"/>
        <v>Comisiones</v>
      </c>
      <c r="C179" s="1122">
        <f>'Previsión de negocio'!E223</f>
        <v>0</v>
      </c>
      <c r="D179" s="500">
        <f>'Presupuesto de ventas'!D$86*$C179</f>
        <v>0</v>
      </c>
      <c r="E179" s="289">
        <f>'Presupuesto de ventas'!E$86*$C179</f>
        <v>0</v>
      </c>
      <c r="F179" s="289">
        <f>'Presupuesto de ventas'!F$86*$C179</f>
        <v>0</v>
      </c>
      <c r="G179" s="289">
        <f>'Presupuesto de ventas'!G$86*$C179</f>
        <v>0</v>
      </c>
      <c r="H179" s="289">
        <f>'Presupuesto de ventas'!H$86*$C179</f>
        <v>0</v>
      </c>
      <c r="I179" s="289">
        <f>'Presupuesto de ventas'!I$86*$C179</f>
        <v>0</v>
      </c>
      <c r="J179" s="289">
        <f>'Presupuesto de ventas'!J$86*$C179</f>
        <v>0</v>
      </c>
      <c r="K179" s="289">
        <f>'Presupuesto de ventas'!K$86*$C179</f>
        <v>0</v>
      </c>
      <c r="L179" s="289">
        <f>'Presupuesto de ventas'!L$86*$C179</f>
        <v>0</v>
      </c>
      <c r="M179" s="289">
        <f>'Presupuesto de ventas'!M$86*$C179</f>
        <v>0</v>
      </c>
      <c r="N179" s="289">
        <f>'Presupuesto de ventas'!N$86*$C179</f>
        <v>0</v>
      </c>
      <c r="O179" s="501">
        <f>'Presupuesto de ventas'!O$86*$C179</f>
        <v>0</v>
      </c>
      <c r="P179" s="457">
        <f t="shared" si="56"/>
        <v>0</v>
      </c>
    </row>
    <row r="180" spans="2:21" x14ac:dyDescent="0.2">
      <c r="B180" s="1121" t="str">
        <f t="shared" si="55"/>
        <v>Embalajes</v>
      </c>
      <c r="C180" s="1122">
        <f>'Previsión de negocio'!E224</f>
        <v>0</v>
      </c>
      <c r="D180" s="500">
        <f>'Presupuesto de ventas'!D$86*$C180</f>
        <v>0</v>
      </c>
      <c r="E180" s="289">
        <f>'Presupuesto de ventas'!E$86*$C180</f>
        <v>0</v>
      </c>
      <c r="F180" s="289">
        <f>'Presupuesto de ventas'!F$86*$C180</f>
        <v>0</v>
      </c>
      <c r="G180" s="289">
        <f>'Presupuesto de ventas'!G$86*$C180</f>
        <v>0</v>
      </c>
      <c r="H180" s="289">
        <f>'Presupuesto de ventas'!H$86*$C180</f>
        <v>0</v>
      </c>
      <c r="I180" s="289">
        <f>'Presupuesto de ventas'!I$86*$C180</f>
        <v>0</v>
      </c>
      <c r="J180" s="289">
        <f>'Presupuesto de ventas'!J$86*$C180</f>
        <v>0</v>
      </c>
      <c r="K180" s="289">
        <f>'Presupuesto de ventas'!K$86*$C180</f>
        <v>0</v>
      </c>
      <c r="L180" s="289">
        <f>'Presupuesto de ventas'!L$86*$C180</f>
        <v>0</v>
      </c>
      <c r="M180" s="289">
        <f>'Presupuesto de ventas'!M$86*$C180</f>
        <v>0</v>
      </c>
      <c r="N180" s="289">
        <f>'Presupuesto de ventas'!N$86*$C180</f>
        <v>0</v>
      </c>
      <c r="O180" s="501">
        <f>'Presupuesto de ventas'!O$86*$C180</f>
        <v>0</v>
      </c>
      <c r="P180" s="457">
        <f t="shared" si="56"/>
        <v>0</v>
      </c>
    </row>
    <row r="181" spans="2:21" x14ac:dyDescent="0.2">
      <c r="B181" s="1121" t="str">
        <f t="shared" si="55"/>
        <v>Otros costes variables</v>
      </c>
      <c r="C181" s="1122">
        <f>'Previsión de negocio'!E225</f>
        <v>0</v>
      </c>
      <c r="D181" s="500">
        <f>'Presupuesto de ventas'!D$86*$C181</f>
        <v>0</v>
      </c>
      <c r="E181" s="289">
        <f>'Presupuesto de ventas'!E$86*$C181</f>
        <v>0</v>
      </c>
      <c r="F181" s="289">
        <f>'Presupuesto de ventas'!F$86*$C181</f>
        <v>0</v>
      </c>
      <c r="G181" s="289">
        <f>'Presupuesto de ventas'!G$86*$C181</f>
        <v>0</v>
      </c>
      <c r="H181" s="289">
        <f>'Presupuesto de ventas'!H$86*$C181</f>
        <v>0</v>
      </c>
      <c r="I181" s="289">
        <f>'Presupuesto de ventas'!I$86*$C181</f>
        <v>0</v>
      </c>
      <c r="J181" s="289">
        <f>'Presupuesto de ventas'!J$86*$C181</f>
        <v>0</v>
      </c>
      <c r="K181" s="289">
        <f>'Presupuesto de ventas'!K$86*$C181</f>
        <v>0</v>
      </c>
      <c r="L181" s="289">
        <f>'Presupuesto de ventas'!L$86*$C181</f>
        <v>0</v>
      </c>
      <c r="M181" s="289">
        <f>'Presupuesto de ventas'!M$86*$C181</f>
        <v>0</v>
      </c>
      <c r="N181" s="289">
        <f>'Presupuesto de ventas'!N$86*$C181</f>
        <v>0</v>
      </c>
      <c r="O181" s="501">
        <f>'Presupuesto de ventas'!O$86*$C181</f>
        <v>0</v>
      </c>
      <c r="P181" s="457">
        <f t="shared" si="56"/>
        <v>0</v>
      </c>
    </row>
    <row r="182" spans="2:21" x14ac:dyDescent="0.2">
      <c r="B182" s="1121">
        <f t="shared" si="55"/>
        <v>0</v>
      </c>
      <c r="C182" s="1122">
        <f>'Previsión de negocio'!E226</f>
        <v>0</v>
      </c>
      <c r="D182" s="500">
        <f>'Presupuesto de ventas'!D$86*$C182</f>
        <v>0</v>
      </c>
      <c r="E182" s="289">
        <f>'Presupuesto de ventas'!E$86*$C182</f>
        <v>0</v>
      </c>
      <c r="F182" s="289">
        <f>'Presupuesto de ventas'!F$86*$C182</f>
        <v>0</v>
      </c>
      <c r="G182" s="289">
        <f>'Presupuesto de ventas'!G$86*$C182</f>
        <v>0</v>
      </c>
      <c r="H182" s="289">
        <f>'Presupuesto de ventas'!H$86*$C182</f>
        <v>0</v>
      </c>
      <c r="I182" s="289">
        <f>'Presupuesto de ventas'!I$86*$C182</f>
        <v>0</v>
      </c>
      <c r="J182" s="289">
        <f>'Presupuesto de ventas'!J$86*$C182</f>
        <v>0</v>
      </c>
      <c r="K182" s="289">
        <f>'Presupuesto de ventas'!K$86*$C182</f>
        <v>0</v>
      </c>
      <c r="L182" s="289">
        <f>'Presupuesto de ventas'!L$86*$C182</f>
        <v>0</v>
      </c>
      <c r="M182" s="289">
        <f>'Presupuesto de ventas'!M$86*$C182</f>
        <v>0</v>
      </c>
      <c r="N182" s="289">
        <f>'Presupuesto de ventas'!N$86*$C182</f>
        <v>0</v>
      </c>
      <c r="O182" s="501">
        <f>'Presupuesto de ventas'!O$86*$C182</f>
        <v>0</v>
      </c>
      <c r="P182" s="457">
        <f t="shared" si="56"/>
        <v>0</v>
      </c>
    </row>
    <row r="183" spans="2:21" x14ac:dyDescent="0.2">
      <c r="B183" s="1121">
        <f t="shared" si="55"/>
        <v>0</v>
      </c>
      <c r="C183" s="1122">
        <f>'Previsión de negocio'!E227</f>
        <v>0</v>
      </c>
      <c r="D183" s="500">
        <f>'Presupuesto de ventas'!D$86*$C183</f>
        <v>0</v>
      </c>
      <c r="E183" s="289">
        <f>'Presupuesto de ventas'!E$86*$C183</f>
        <v>0</v>
      </c>
      <c r="F183" s="289">
        <f>'Presupuesto de ventas'!F$86*$C183</f>
        <v>0</v>
      </c>
      <c r="G183" s="289">
        <f>'Presupuesto de ventas'!G$86*$C183</f>
        <v>0</v>
      </c>
      <c r="H183" s="289">
        <f>'Presupuesto de ventas'!H$86*$C183</f>
        <v>0</v>
      </c>
      <c r="I183" s="289">
        <f>'Presupuesto de ventas'!I$86*$C183</f>
        <v>0</v>
      </c>
      <c r="J183" s="289">
        <f>'Presupuesto de ventas'!J$86*$C183</f>
        <v>0</v>
      </c>
      <c r="K183" s="289">
        <f>'Presupuesto de ventas'!K$86*$C183</f>
        <v>0</v>
      </c>
      <c r="L183" s="289">
        <f>'Presupuesto de ventas'!L$86*$C183</f>
        <v>0</v>
      </c>
      <c r="M183" s="289">
        <f>'Presupuesto de ventas'!M$86*$C183</f>
        <v>0</v>
      </c>
      <c r="N183" s="289">
        <f>'Presupuesto de ventas'!N$86*$C183</f>
        <v>0</v>
      </c>
      <c r="O183" s="501">
        <f>'Presupuesto de ventas'!O$86*$C183</f>
        <v>0</v>
      </c>
      <c r="P183" s="457">
        <f t="shared" si="56"/>
        <v>0</v>
      </c>
    </row>
    <row r="184" spans="2:21" s="1" customFormat="1" x14ac:dyDescent="0.2">
      <c r="B184" s="1123" t="str">
        <f t="shared" si="55"/>
        <v>Total</v>
      </c>
      <c r="C184" s="1124"/>
      <c r="D184" s="935">
        <f>SUM(D178:D183)</f>
        <v>0</v>
      </c>
      <c r="E184" s="295">
        <f t="shared" ref="E184:O184" si="57">SUM(E178:E183)</f>
        <v>0</v>
      </c>
      <c r="F184" s="295">
        <f t="shared" si="57"/>
        <v>0</v>
      </c>
      <c r="G184" s="295">
        <f t="shared" si="57"/>
        <v>0</v>
      </c>
      <c r="H184" s="295">
        <f t="shared" si="57"/>
        <v>0</v>
      </c>
      <c r="I184" s="295">
        <f t="shared" si="57"/>
        <v>0</v>
      </c>
      <c r="J184" s="295">
        <f t="shared" si="57"/>
        <v>0</v>
      </c>
      <c r="K184" s="295">
        <f t="shared" si="57"/>
        <v>0</v>
      </c>
      <c r="L184" s="295">
        <f t="shared" si="57"/>
        <v>0</v>
      </c>
      <c r="M184" s="295">
        <f t="shared" si="57"/>
        <v>0</v>
      </c>
      <c r="N184" s="295">
        <f t="shared" si="57"/>
        <v>0</v>
      </c>
      <c r="O184" s="639">
        <f t="shared" si="57"/>
        <v>0</v>
      </c>
      <c r="P184" s="457">
        <f t="shared" si="56"/>
        <v>0</v>
      </c>
    </row>
    <row r="185" spans="2:21" x14ac:dyDescent="0.2">
      <c r="B185" s="956" t="str">
        <f t="shared" si="55"/>
        <v>IVA</v>
      </c>
      <c r="C185" s="1125"/>
      <c r="D185" s="500">
        <f>IF('Datos generales'!$D$22&lt;=0,'Datos generales'!$D$19*D184,0)</f>
        <v>0</v>
      </c>
      <c r="E185" s="289">
        <f>IF('Datos generales'!$D$22&lt;=0,'Datos generales'!$D$19*E184,0)</f>
        <v>0</v>
      </c>
      <c r="F185" s="289">
        <f>IF('Datos generales'!$D$22&lt;=0,'Datos generales'!$D$19*F184,0)</f>
        <v>0</v>
      </c>
      <c r="G185" s="289">
        <f>IF('Datos generales'!$D$22&lt;=0,'Datos generales'!$D$19*G184,0)</f>
        <v>0</v>
      </c>
      <c r="H185" s="289">
        <f>IF('Datos generales'!$D$22&lt;=0,'Datos generales'!$D$19*H184,0)</f>
        <v>0</v>
      </c>
      <c r="I185" s="289">
        <f>IF('Datos generales'!$D$22&lt;=0,'Datos generales'!$D$19*I184,0)</f>
        <v>0</v>
      </c>
      <c r="J185" s="289">
        <f>IF('Datos generales'!$D$22&lt;=0,'Datos generales'!$D$19*J184,0)</f>
        <v>0</v>
      </c>
      <c r="K185" s="289">
        <f>IF('Datos generales'!$D$22&lt;=0,'Datos generales'!$D$19*K184,0)</f>
        <v>0</v>
      </c>
      <c r="L185" s="289">
        <f>IF('Datos generales'!$D$22&lt;=0,'Datos generales'!$D$19*L184,0)</f>
        <v>0</v>
      </c>
      <c r="M185" s="289">
        <f>IF('Datos generales'!$D$22&lt;=0,'Datos generales'!$D$19*M184,0)</f>
        <v>0</v>
      </c>
      <c r="N185" s="289">
        <f>IF('Datos generales'!$D$22&lt;=0,'Datos generales'!$D$19*N184,0)</f>
        <v>0</v>
      </c>
      <c r="O185" s="289">
        <f>IF('Datos generales'!$D$22&lt;=0,'Datos generales'!$D$19*O184,0)</f>
        <v>0</v>
      </c>
      <c r="P185" s="457">
        <f t="shared" si="56"/>
        <v>0</v>
      </c>
    </row>
    <row r="186" spans="2:21" x14ac:dyDescent="0.2">
      <c r="B186" s="435" t="str">
        <f>B36</f>
        <v>Total costes variables s/ ventas:</v>
      </c>
      <c r="C186" s="436"/>
      <c r="D186" s="377">
        <f t="shared" ref="D186:O186" si="58">D184+D185</f>
        <v>0</v>
      </c>
      <c r="E186" s="201">
        <f t="shared" si="58"/>
        <v>0</v>
      </c>
      <c r="F186" s="201">
        <f t="shared" si="58"/>
        <v>0</v>
      </c>
      <c r="G186" s="201">
        <f t="shared" si="58"/>
        <v>0</v>
      </c>
      <c r="H186" s="201">
        <f t="shared" si="58"/>
        <v>0</v>
      </c>
      <c r="I186" s="201">
        <f t="shared" si="58"/>
        <v>0</v>
      </c>
      <c r="J186" s="201">
        <f t="shared" si="58"/>
        <v>0</v>
      </c>
      <c r="K186" s="201">
        <f t="shared" si="58"/>
        <v>0</v>
      </c>
      <c r="L186" s="201">
        <f t="shared" si="58"/>
        <v>0</v>
      </c>
      <c r="M186" s="201">
        <f t="shared" si="58"/>
        <v>0</v>
      </c>
      <c r="N186" s="201">
        <f t="shared" si="58"/>
        <v>0</v>
      </c>
      <c r="O186" s="348">
        <f t="shared" si="58"/>
        <v>0</v>
      </c>
      <c r="P186" s="371">
        <f t="shared" si="56"/>
        <v>0</v>
      </c>
    </row>
    <row r="187" spans="2:21" ht="7.5" customHeight="1" thickBot="1" x14ac:dyDescent="0.25">
      <c r="B187" s="425"/>
      <c r="C187" s="426"/>
      <c r="D187" s="61"/>
      <c r="E187" s="61"/>
      <c r="F187" s="61"/>
      <c r="G187" s="61"/>
      <c r="H187" s="61"/>
      <c r="I187" s="61"/>
      <c r="J187" s="61"/>
      <c r="K187" s="61"/>
      <c r="L187" s="61"/>
      <c r="M187" s="61"/>
      <c r="N187" s="61"/>
      <c r="O187" s="61"/>
      <c r="P187" s="61"/>
    </row>
    <row r="188" spans="2:21" ht="16.5" thickBot="1" x14ac:dyDescent="0.3">
      <c r="B188" s="439" t="str">
        <f>B38</f>
        <v>Total costes variables:</v>
      </c>
      <c r="C188" s="440"/>
      <c r="D188" s="455">
        <f>+D162+D176+D186</f>
        <v>0</v>
      </c>
      <c r="E188" s="455">
        <f t="shared" ref="E188:P188" si="59">+E162+E176+E186</f>
        <v>0</v>
      </c>
      <c r="F188" s="455">
        <f t="shared" si="59"/>
        <v>0</v>
      </c>
      <c r="G188" s="455">
        <f t="shared" si="59"/>
        <v>0</v>
      </c>
      <c r="H188" s="455">
        <f t="shared" si="59"/>
        <v>0</v>
      </c>
      <c r="I188" s="455">
        <f t="shared" si="59"/>
        <v>0</v>
      </c>
      <c r="J188" s="455">
        <f t="shared" si="59"/>
        <v>0</v>
      </c>
      <c r="K188" s="455">
        <f t="shared" si="59"/>
        <v>0</v>
      </c>
      <c r="L188" s="455">
        <f t="shared" si="59"/>
        <v>0</v>
      </c>
      <c r="M188" s="455">
        <f t="shared" si="59"/>
        <v>0</v>
      </c>
      <c r="N188" s="455">
        <f t="shared" si="59"/>
        <v>0</v>
      </c>
      <c r="O188" s="455">
        <f t="shared" si="59"/>
        <v>0</v>
      </c>
      <c r="P188" s="977">
        <f t="shared" si="59"/>
        <v>0</v>
      </c>
    </row>
    <row r="189" spans="2:21" x14ac:dyDescent="0.2">
      <c r="D189" s="95"/>
      <c r="E189" s="95"/>
      <c r="F189" s="95"/>
      <c r="G189" s="95"/>
      <c r="H189" s="95"/>
      <c r="I189" s="95"/>
      <c r="J189" s="95"/>
      <c r="K189" s="95"/>
      <c r="L189" s="95"/>
      <c r="M189" s="95"/>
      <c r="N189" s="95"/>
      <c r="O189" s="95"/>
      <c r="P189" s="42"/>
    </row>
    <row r="190" spans="2:21" s="954" customFormat="1" hidden="1" x14ac:dyDescent="0.2">
      <c r="B190" s="616" t="str">
        <f>B132</f>
        <v>Compras de existencias</v>
      </c>
      <c r="C190" s="1283" t="s">
        <v>296</v>
      </c>
      <c r="D190" s="1283" t="s">
        <v>297</v>
      </c>
      <c r="E190" s="1283" t="s">
        <v>298</v>
      </c>
      <c r="F190" s="1283" t="s">
        <v>120</v>
      </c>
      <c r="G190" s="1283" t="s">
        <v>121</v>
      </c>
      <c r="H190" s="1283" t="s">
        <v>122</v>
      </c>
      <c r="I190" s="1283" t="s">
        <v>123</v>
      </c>
      <c r="J190" s="1283" t="s">
        <v>299</v>
      </c>
      <c r="K190" s="1283" t="s">
        <v>300</v>
      </c>
      <c r="L190" s="1283" t="s">
        <v>301</v>
      </c>
      <c r="M190" s="1283" t="s">
        <v>302</v>
      </c>
      <c r="N190" s="1283" t="s">
        <v>303</v>
      </c>
      <c r="O190" s="1284">
        <f>'Datos generales'!$P$10+1</f>
        <v>2021</v>
      </c>
      <c r="P190" s="616" t="s">
        <v>728</v>
      </c>
      <c r="Q190" s="616"/>
      <c r="R190" s="616"/>
      <c r="S190" s="616"/>
      <c r="T190" s="616"/>
      <c r="U190" s="616"/>
    </row>
    <row r="191" spans="2:21" s="954" customFormat="1" hidden="1" x14ac:dyDescent="0.2">
      <c r="B191" s="616" t="str">
        <f t="shared" ref="B191:B201" si="60">B133</f>
        <v>Producto o servicio 1</v>
      </c>
      <c r="C191" s="1047">
        <f>IF('Previsión de negocio'!$U234=E$1,'Previsión de negocio'!$F234,0)</f>
        <v>0</v>
      </c>
      <c r="D191" s="1047">
        <f>IF('Previsión de negocio'!$U234=F$1,'Previsión de negocio'!$F234,0)</f>
        <v>0</v>
      </c>
      <c r="E191" s="1047">
        <f>IF('Previsión de negocio'!$U234=G$1,'Previsión de negocio'!$F234,0)</f>
        <v>0</v>
      </c>
      <c r="F191" s="1047">
        <f>IF('Previsión de negocio'!$U234=H$1,'Previsión de negocio'!$F234,0)</f>
        <v>0</v>
      </c>
      <c r="G191" s="1047">
        <f>IF('Previsión de negocio'!$U234=I$1,'Previsión de negocio'!$F234,0)</f>
        <v>0</v>
      </c>
      <c r="H191" s="1047">
        <f>IF('Previsión de negocio'!$U234=J$1,'Previsión de negocio'!$F234,0)</f>
        <v>0</v>
      </c>
      <c r="I191" s="1047">
        <f>IF('Previsión de negocio'!$U234=K$1,'Previsión de negocio'!$F234,0)</f>
        <v>0</v>
      </c>
      <c r="J191" s="1047">
        <f>IF('Previsión de negocio'!$U234=L$1,'Previsión de negocio'!$F234,0)</f>
        <v>0</v>
      </c>
      <c r="K191" s="1047">
        <f>IF('Previsión de negocio'!$U234=M$1,'Previsión de negocio'!$F234,0)</f>
        <v>0</v>
      </c>
      <c r="L191" s="1047">
        <f>IF('Previsión de negocio'!$U234=N$1,'Previsión de negocio'!$F234,0)</f>
        <v>0</v>
      </c>
      <c r="M191" s="1047">
        <f>IF('Previsión de negocio'!$U234=O$1,'Previsión de negocio'!$F234,0)</f>
        <v>0</v>
      </c>
      <c r="N191" s="1047">
        <f>IF('Previsión de negocio'!$U234=P$1,'Previsión de negocio'!$F234,0)</f>
        <v>0</v>
      </c>
      <c r="O191" s="1047">
        <f t="shared" ref="O191:O200" si="61">SUM(C191:N191)</f>
        <v>0</v>
      </c>
      <c r="P191" s="616">
        <f>IF(P133+O191=0,0,IF('Previsión de negocio'!D234=1,'Previsión de negocio'!E234,'Previsión de negocio'!D234*'Previsión de negocio'!O97))</f>
        <v>0</v>
      </c>
      <c r="Q191" s="616"/>
      <c r="R191" s="616"/>
      <c r="S191" s="616"/>
      <c r="T191" s="616"/>
      <c r="U191" s="616"/>
    </row>
    <row r="192" spans="2:21" s="954" customFormat="1" hidden="1" x14ac:dyDescent="0.2">
      <c r="B192" s="616" t="str">
        <f t="shared" si="60"/>
        <v>Producto o servicio 2</v>
      </c>
      <c r="C192" s="1047">
        <f>IF('Previsión de negocio'!$U235=E$1,'Previsión de negocio'!$F235,0)</f>
        <v>0</v>
      </c>
      <c r="D192" s="1047">
        <f>IF('Previsión de negocio'!$U235=F$1,'Previsión de negocio'!$F235,0)</f>
        <v>0</v>
      </c>
      <c r="E192" s="1047">
        <f>IF('Previsión de negocio'!$U235=G$1,'Previsión de negocio'!$F235,0)</f>
        <v>0</v>
      </c>
      <c r="F192" s="1047">
        <f>IF('Previsión de negocio'!$U235=H$1,'Previsión de negocio'!$F235,0)</f>
        <v>0</v>
      </c>
      <c r="G192" s="1047">
        <f>IF('Previsión de negocio'!$U235=I$1,'Previsión de negocio'!$F235,0)</f>
        <v>0</v>
      </c>
      <c r="H192" s="1047">
        <f>IF('Previsión de negocio'!$U235=J$1,'Previsión de negocio'!$F235,0)</f>
        <v>0</v>
      </c>
      <c r="I192" s="1047">
        <f>IF('Previsión de negocio'!$U235=K$1,'Previsión de negocio'!$F235,0)</f>
        <v>0</v>
      </c>
      <c r="J192" s="1047">
        <f>IF('Previsión de negocio'!$U235=L$1,'Previsión de negocio'!$F235,0)</f>
        <v>0</v>
      </c>
      <c r="K192" s="1047">
        <f>IF('Previsión de negocio'!$U235=M$1,'Previsión de negocio'!$F235,0)</f>
        <v>0</v>
      </c>
      <c r="L192" s="1047">
        <f>IF('Previsión de negocio'!$U235=N$1,'Previsión de negocio'!$F235,0)</f>
        <v>0</v>
      </c>
      <c r="M192" s="1047">
        <f>IF('Previsión de negocio'!$U235=O$1,'Previsión de negocio'!$F235,0)</f>
        <v>0</v>
      </c>
      <c r="N192" s="1047">
        <f>IF('Previsión de negocio'!$U235=P$1,'Previsión de negocio'!$F235,0)</f>
        <v>0</v>
      </c>
      <c r="O192" s="1047">
        <f t="shared" si="61"/>
        <v>0</v>
      </c>
      <c r="P192" s="616">
        <f>IF(P134+O192=0,0,IF('Previsión de negocio'!D235=1,'Previsión de negocio'!E235,'Previsión de negocio'!D235*'Previsión de negocio'!O103))</f>
        <v>0</v>
      </c>
      <c r="Q192" s="616"/>
      <c r="R192" s="616"/>
      <c r="S192" s="616"/>
      <c r="T192" s="616"/>
      <c r="U192" s="616"/>
    </row>
    <row r="193" spans="2:21" s="954" customFormat="1" hidden="1" x14ac:dyDescent="0.2">
      <c r="B193" s="616" t="str">
        <f t="shared" si="60"/>
        <v>Producto o servicio 3</v>
      </c>
      <c r="C193" s="1047">
        <f>IF('Previsión de negocio'!$U236=E$1,'Previsión de negocio'!$F236,0)</f>
        <v>0</v>
      </c>
      <c r="D193" s="1047">
        <f>IF('Previsión de negocio'!$U236=F$1,'Previsión de negocio'!$F236,0)</f>
        <v>0</v>
      </c>
      <c r="E193" s="1047">
        <f>IF('Previsión de negocio'!$U236=G$1,'Previsión de negocio'!$F236,0)</f>
        <v>0</v>
      </c>
      <c r="F193" s="1047">
        <f>IF('Previsión de negocio'!$U236=H$1,'Previsión de negocio'!$F236,0)</f>
        <v>0</v>
      </c>
      <c r="G193" s="1047">
        <f>IF('Previsión de negocio'!$U236=I$1,'Previsión de negocio'!$F236,0)</f>
        <v>0</v>
      </c>
      <c r="H193" s="1047">
        <f>IF('Previsión de negocio'!$U236=J$1,'Previsión de negocio'!$F236,0)</f>
        <v>0</v>
      </c>
      <c r="I193" s="1047">
        <f>IF('Previsión de negocio'!$U236=K$1,'Previsión de negocio'!$F236,0)</f>
        <v>0</v>
      </c>
      <c r="J193" s="1047">
        <f>IF('Previsión de negocio'!$U236=L$1,'Previsión de negocio'!$F236,0)</f>
        <v>0</v>
      </c>
      <c r="K193" s="1047">
        <f>IF('Previsión de negocio'!$U236=M$1,'Previsión de negocio'!$F236,0)</f>
        <v>0</v>
      </c>
      <c r="L193" s="1047">
        <f>IF('Previsión de negocio'!$U236=N$1,'Previsión de negocio'!$F236,0)</f>
        <v>0</v>
      </c>
      <c r="M193" s="1047">
        <f>IF('Previsión de negocio'!$U236=O$1,'Previsión de negocio'!$F236,0)</f>
        <v>0</v>
      </c>
      <c r="N193" s="1047">
        <f>IF('Previsión de negocio'!$U236=P$1,'Previsión de negocio'!$F236,0)</f>
        <v>0</v>
      </c>
      <c r="O193" s="1047">
        <f t="shared" si="61"/>
        <v>0</v>
      </c>
      <c r="P193" s="616">
        <f>IF(P135+O193=0,0,IF('Previsión de negocio'!D236=1,'Previsión de negocio'!E236,'Previsión de negocio'!D236*'Previsión de negocio'!O109))</f>
        <v>0</v>
      </c>
      <c r="Q193" s="616"/>
      <c r="R193" s="616"/>
      <c r="S193" s="616"/>
      <c r="T193" s="616"/>
      <c r="U193" s="616"/>
    </row>
    <row r="194" spans="2:21" s="954" customFormat="1" hidden="1" x14ac:dyDescent="0.2">
      <c r="B194" s="616">
        <f t="shared" si="60"/>
        <v>0</v>
      </c>
      <c r="C194" s="1047">
        <f>IF('Previsión de negocio'!$U237=E$1,'Previsión de negocio'!$F237,0)</f>
        <v>0</v>
      </c>
      <c r="D194" s="1047">
        <f>IF('Previsión de negocio'!$U237=F$1,'Previsión de negocio'!$F237,0)</f>
        <v>0</v>
      </c>
      <c r="E194" s="1047">
        <f>IF('Previsión de negocio'!$U237=G$1,'Previsión de negocio'!$F237,0)</f>
        <v>0</v>
      </c>
      <c r="F194" s="1047">
        <f>IF('Previsión de negocio'!$U237=H$1,'Previsión de negocio'!$F237,0)</f>
        <v>0</v>
      </c>
      <c r="G194" s="1047">
        <f>IF('Previsión de negocio'!$U237=I$1,'Previsión de negocio'!$F237,0)</f>
        <v>0</v>
      </c>
      <c r="H194" s="1047">
        <f>IF('Previsión de negocio'!$U237=J$1,'Previsión de negocio'!$F237,0)</f>
        <v>0</v>
      </c>
      <c r="I194" s="1047">
        <f>IF('Previsión de negocio'!$U237=K$1,'Previsión de negocio'!$F237,0)</f>
        <v>0</v>
      </c>
      <c r="J194" s="1047">
        <f>IF('Previsión de negocio'!$U237=L$1,'Previsión de negocio'!$F237,0)</f>
        <v>0</v>
      </c>
      <c r="K194" s="1047">
        <f>IF('Previsión de negocio'!$U237=M$1,'Previsión de negocio'!$F237,0)</f>
        <v>0</v>
      </c>
      <c r="L194" s="1047">
        <f>IF('Previsión de negocio'!$U237=N$1,'Previsión de negocio'!$F237,0)</f>
        <v>0</v>
      </c>
      <c r="M194" s="1047">
        <f>IF('Previsión de negocio'!$U237=O$1,'Previsión de negocio'!$F237,0)</f>
        <v>0</v>
      </c>
      <c r="N194" s="1047">
        <f>IF('Previsión de negocio'!$U237=P$1,'Previsión de negocio'!$F237,0)</f>
        <v>0</v>
      </c>
      <c r="O194" s="1047">
        <f t="shared" si="61"/>
        <v>0</v>
      </c>
      <c r="P194" s="616">
        <f>IF(P136+O194=0,0,IF('Previsión de negocio'!D237=1,'Previsión de negocio'!E237,'Previsión de negocio'!D237*'Previsión de negocio'!O115))</f>
        <v>0</v>
      </c>
      <c r="Q194" s="616"/>
      <c r="R194" s="616"/>
      <c r="S194" s="616"/>
      <c r="T194" s="616"/>
      <c r="U194" s="616"/>
    </row>
    <row r="195" spans="2:21" s="954" customFormat="1" hidden="1" x14ac:dyDescent="0.2">
      <c r="B195" s="616">
        <f t="shared" si="60"/>
        <v>0</v>
      </c>
      <c r="C195" s="1047">
        <f>IF('Previsión de negocio'!$U238=E$1,'Previsión de negocio'!$F238,0)</f>
        <v>0</v>
      </c>
      <c r="D195" s="1047">
        <f>IF('Previsión de negocio'!$U238=F$1,'Previsión de negocio'!$F238,0)</f>
        <v>0</v>
      </c>
      <c r="E195" s="1047">
        <f>IF('Previsión de negocio'!$U238=G$1,'Previsión de negocio'!$F238,0)</f>
        <v>0</v>
      </c>
      <c r="F195" s="1047">
        <f>IF('Previsión de negocio'!$U238=H$1,'Previsión de negocio'!$F238,0)</f>
        <v>0</v>
      </c>
      <c r="G195" s="1047">
        <f>IF('Previsión de negocio'!$U238=I$1,'Previsión de negocio'!$F238,0)</f>
        <v>0</v>
      </c>
      <c r="H195" s="1047">
        <f>IF('Previsión de negocio'!$U238=J$1,'Previsión de negocio'!$F238,0)</f>
        <v>0</v>
      </c>
      <c r="I195" s="1047">
        <f>IF('Previsión de negocio'!$U238=K$1,'Previsión de negocio'!$F238,0)</f>
        <v>0</v>
      </c>
      <c r="J195" s="1047">
        <f>IF('Previsión de negocio'!$U238=L$1,'Previsión de negocio'!$F238,0)</f>
        <v>0</v>
      </c>
      <c r="K195" s="1047">
        <f>IF('Previsión de negocio'!$U238=M$1,'Previsión de negocio'!$F238,0)</f>
        <v>0</v>
      </c>
      <c r="L195" s="1047">
        <f>IF('Previsión de negocio'!$U238=N$1,'Previsión de negocio'!$F238,0)</f>
        <v>0</v>
      </c>
      <c r="M195" s="1047">
        <f>IF('Previsión de negocio'!$U238=O$1,'Previsión de negocio'!$F238,0)</f>
        <v>0</v>
      </c>
      <c r="N195" s="1047">
        <f>IF('Previsión de negocio'!$U238=P$1,'Previsión de negocio'!$F238,0)</f>
        <v>0</v>
      </c>
      <c r="O195" s="1047">
        <f t="shared" si="61"/>
        <v>0</v>
      </c>
      <c r="P195" s="616">
        <f>IF(P137+O195=0,0,IF('Previsión de negocio'!D238=1,'Previsión de negocio'!E238,'Previsión de negocio'!D238*'Previsión de negocio'!O121))</f>
        <v>0</v>
      </c>
      <c r="Q195" s="616"/>
      <c r="R195" s="616"/>
      <c r="S195" s="616"/>
      <c r="T195" s="616"/>
      <c r="U195" s="616"/>
    </row>
    <row r="196" spans="2:21" s="954" customFormat="1" hidden="1" x14ac:dyDescent="0.2">
      <c r="B196" s="616">
        <f t="shared" si="60"/>
        <v>0</v>
      </c>
      <c r="C196" s="1047">
        <f>IF('Previsión de negocio'!$U239=E$1,'Previsión de negocio'!$F239,0)</f>
        <v>0</v>
      </c>
      <c r="D196" s="1047">
        <f>IF('Previsión de negocio'!$U239=F$1,'Previsión de negocio'!$F239,0)</f>
        <v>0</v>
      </c>
      <c r="E196" s="1047">
        <f>IF('Previsión de negocio'!$U239=G$1,'Previsión de negocio'!$F239,0)</f>
        <v>0</v>
      </c>
      <c r="F196" s="1047">
        <f>IF('Previsión de negocio'!$U239=H$1,'Previsión de negocio'!$F239,0)</f>
        <v>0</v>
      </c>
      <c r="G196" s="1047">
        <f>IF('Previsión de negocio'!$U239=I$1,'Previsión de negocio'!$F239,0)</f>
        <v>0</v>
      </c>
      <c r="H196" s="1047">
        <f>IF('Previsión de negocio'!$U239=J$1,'Previsión de negocio'!$F239,0)</f>
        <v>0</v>
      </c>
      <c r="I196" s="1047">
        <f>IF('Previsión de negocio'!$U239=K$1,'Previsión de negocio'!$F239,0)</f>
        <v>0</v>
      </c>
      <c r="J196" s="1047">
        <f>IF('Previsión de negocio'!$U239=L$1,'Previsión de negocio'!$F239,0)</f>
        <v>0</v>
      </c>
      <c r="K196" s="1047">
        <f>IF('Previsión de negocio'!$U239=M$1,'Previsión de negocio'!$F239,0)</f>
        <v>0</v>
      </c>
      <c r="L196" s="1047">
        <f>IF('Previsión de negocio'!$U239=N$1,'Previsión de negocio'!$F239,0)</f>
        <v>0</v>
      </c>
      <c r="M196" s="1047">
        <f>IF('Previsión de negocio'!$U239=O$1,'Previsión de negocio'!$F239,0)</f>
        <v>0</v>
      </c>
      <c r="N196" s="1047">
        <f>IF('Previsión de negocio'!$U239=P$1,'Previsión de negocio'!$F239,0)</f>
        <v>0</v>
      </c>
      <c r="O196" s="1047">
        <f t="shared" si="61"/>
        <v>0</v>
      </c>
      <c r="P196" s="616">
        <f>IF(P138+O196=0,0,IF('Previsión de negocio'!D239=1,'Previsión de negocio'!E239,'Previsión de negocio'!D239*'Previsión de negocio'!O127))</f>
        <v>0</v>
      </c>
      <c r="Q196" s="616"/>
      <c r="R196" s="616"/>
      <c r="S196" s="616"/>
      <c r="T196" s="616"/>
      <c r="U196" s="616"/>
    </row>
    <row r="197" spans="2:21" s="954" customFormat="1" hidden="1" x14ac:dyDescent="0.2">
      <c r="B197" s="616">
        <f t="shared" si="60"/>
        <v>0</v>
      </c>
      <c r="C197" s="1047">
        <f>IF('Previsión de negocio'!$U240=E$1,'Previsión de negocio'!$F240,0)</f>
        <v>0</v>
      </c>
      <c r="D197" s="1047">
        <f>IF('Previsión de negocio'!$U240=F$1,'Previsión de negocio'!$F240,0)</f>
        <v>0</v>
      </c>
      <c r="E197" s="1047">
        <f>IF('Previsión de negocio'!$U240=G$1,'Previsión de negocio'!$F240,0)</f>
        <v>0</v>
      </c>
      <c r="F197" s="1047">
        <f>IF('Previsión de negocio'!$U240=H$1,'Previsión de negocio'!$F240,0)</f>
        <v>0</v>
      </c>
      <c r="G197" s="1047">
        <f>IF('Previsión de negocio'!$U240=I$1,'Previsión de negocio'!$F240,0)</f>
        <v>0</v>
      </c>
      <c r="H197" s="1047">
        <f>IF('Previsión de negocio'!$U240=J$1,'Previsión de negocio'!$F240,0)</f>
        <v>0</v>
      </c>
      <c r="I197" s="1047">
        <f>IF('Previsión de negocio'!$U240=K$1,'Previsión de negocio'!$F240,0)</f>
        <v>0</v>
      </c>
      <c r="J197" s="1047">
        <f>IF('Previsión de negocio'!$U240=L$1,'Previsión de negocio'!$F240,0)</f>
        <v>0</v>
      </c>
      <c r="K197" s="1047">
        <f>IF('Previsión de negocio'!$U240=M$1,'Previsión de negocio'!$F240,0)</f>
        <v>0</v>
      </c>
      <c r="L197" s="1047">
        <f>IF('Previsión de negocio'!$U240=N$1,'Previsión de negocio'!$F240,0)</f>
        <v>0</v>
      </c>
      <c r="M197" s="1047">
        <f>IF('Previsión de negocio'!$U240=O$1,'Previsión de negocio'!$F240,0)</f>
        <v>0</v>
      </c>
      <c r="N197" s="1047">
        <f>IF('Previsión de negocio'!$U240=P$1,'Previsión de negocio'!$F240,0)</f>
        <v>0</v>
      </c>
      <c r="O197" s="1047">
        <f t="shared" si="61"/>
        <v>0</v>
      </c>
      <c r="P197" s="616">
        <f>IF(P139+O197=0,0,IF('Previsión de negocio'!D240=1,'Previsión de negocio'!E240,'Previsión de negocio'!D240*'Previsión de negocio'!O133))</f>
        <v>0</v>
      </c>
      <c r="Q197" s="616"/>
      <c r="R197" s="616"/>
      <c r="S197" s="616"/>
      <c r="T197" s="616"/>
      <c r="U197" s="616"/>
    </row>
    <row r="198" spans="2:21" s="954" customFormat="1" hidden="1" x14ac:dyDescent="0.2">
      <c r="B198" s="616">
        <f t="shared" si="60"/>
        <v>0</v>
      </c>
      <c r="C198" s="1047">
        <f>IF('Previsión de negocio'!$U241=E$1,'Previsión de negocio'!$F241,0)</f>
        <v>0</v>
      </c>
      <c r="D198" s="1047">
        <f>IF('Previsión de negocio'!$U241=F$1,'Previsión de negocio'!$F241,0)</f>
        <v>0</v>
      </c>
      <c r="E198" s="1047">
        <f>IF('Previsión de negocio'!$U241=G$1,'Previsión de negocio'!$F241,0)</f>
        <v>0</v>
      </c>
      <c r="F198" s="1047">
        <f>IF('Previsión de negocio'!$U241=H$1,'Previsión de negocio'!$F241,0)</f>
        <v>0</v>
      </c>
      <c r="G198" s="1047">
        <f>IF('Previsión de negocio'!$U241=I$1,'Previsión de negocio'!$F241,0)</f>
        <v>0</v>
      </c>
      <c r="H198" s="1047">
        <f>IF('Previsión de negocio'!$U241=J$1,'Previsión de negocio'!$F241,0)</f>
        <v>0</v>
      </c>
      <c r="I198" s="1047">
        <f>IF('Previsión de negocio'!$U241=K$1,'Previsión de negocio'!$F241,0)</f>
        <v>0</v>
      </c>
      <c r="J198" s="1047">
        <f>IF('Previsión de negocio'!$U241=L$1,'Previsión de negocio'!$F241,0)</f>
        <v>0</v>
      </c>
      <c r="K198" s="1047">
        <f>IF('Previsión de negocio'!$U241=M$1,'Previsión de negocio'!$F241,0)</f>
        <v>0</v>
      </c>
      <c r="L198" s="1047">
        <f>IF('Previsión de negocio'!$U241=N$1,'Previsión de negocio'!$F241,0)</f>
        <v>0</v>
      </c>
      <c r="M198" s="1047">
        <f>IF('Previsión de negocio'!$U241=O$1,'Previsión de negocio'!$F241,0)</f>
        <v>0</v>
      </c>
      <c r="N198" s="1047">
        <f>IF('Previsión de negocio'!$U241=P$1,'Previsión de negocio'!$F241,0)</f>
        <v>0</v>
      </c>
      <c r="O198" s="1047">
        <f t="shared" si="61"/>
        <v>0</v>
      </c>
      <c r="P198" s="616">
        <f>IF(P140+O198=0,0,IF('Previsión de negocio'!D241=1,'Previsión de negocio'!E241,'Previsión de negocio'!D241*'Previsión de negocio'!O139))</f>
        <v>0</v>
      </c>
      <c r="Q198" s="616"/>
      <c r="R198" s="616"/>
      <c r="S198" s="616"/>
      <c r="T198" s="616"/>
      <c r="U198" s="616"/>
    </row>
    <row r="199" spans="2:21" s="954" customFormat="1" hidden="1" x14ac:dyDescent="0.2">
      <c r="B199" s="616">
        <f t="shared" si="60"/>
        <v>0</v>
      </c>
      <c r="C199" s="1047">
        <f>IF('Previsión de negocio'!$U242=E$1,'Previsión de negocio'!$F242,0)</f>
        <v>0</v>
      </c>
      <c r="D199" s="1047">
        <f>IF('Previsión de negocio'!$U242=F$1,'Previsión de negocio'!$F242,0)</f>
        <v>0</v>
      </c>
      <c r="E199" s="1047">
        <f>IF('Previsión de negocio'!$U242=G$1,'Previsión de negocio'!$F242,0)</f>
        <v>0</v>
      </c>
      <c r="F199" s="1047">
        <f>IF('Previsión de negocio'!$U242=H$1,'Previsión de negocio'!$F242,0)</f>
        <v>0</v>
      </c>
      <c r="G199" s="1047">
        <f>IF('Previsión de negocio'!$U242=I$1,'Previsión de negocio'!$F242,0)</f>
        <v>0</v>
      </c>
      <c r="H199" s="1047">
        <f>IF('Previsión de negocio'!$U242=J$1,'Previsión de negocio'!$F242,0)</f>
        <v>0</v>
      </c>
      <c r="I199" s="1047">
        <f>IF('Previsión de negocio'!$U242=K$1,'Previsión de negocio'!$F242,0)</f>
        <v>0</v>
      </c>
      <c r="J199" s="1047">
        <f>IF('Previsión de negocio'!$U242=L$1,'Previsión de negocio'!$F242,0)</f>
        <v>0</v>
      </c>
      <c r="K199" s="1047">
        <f>IF('Previsión de negocio'!$U242=M$1,'Previsión de negocio'!$F242,0)</f>
        <v>0</v>
      </c>
      <c r="L199" s="1047">
        <f>IF('Previsión de negocio'!$U242=N$1,'Previsión de negocio'!$F242,0)</f>
        <v>0</v>
      </c>
      <c r="M199" s="1047">
        <f>IF('Previsión de negocio'!$U242=O$1,'Previsión de negocio'!$F242,0)</f>
        <v>0</v>
      </c>
      <c r="N199" s="1047">
        <f>IF('Previsión de negocio'!$U242=P$1,'Previsión de negocio'!$F242,0)</f>
        <v>0</v>
      </c>
      <c r="O199" s="1047">
        <f t="shared" si="61"/>
        <v>0</v>
      </c>
      <c r="P199" s="616">
        <f>IF(P141+O199=0,0,IF('Previsión de negocio'!D242=1,'Previsión de negocio'!E242,'Previsión de negocio'!D242*'Previsión de negocio'!O145))</f>
        <v>0</v>
      </c>
      <c r="Q199" s="616"/>
      <c r="R199" s="616"/>
      <c r="S199" s="616"/>
      <c r="T199" s="616"/>
      <c r="U199" s="616"/>
    </row>
    <row r="200" spans="2:21" s="954" customFormat="1" hidden="1" x14ac:dyDescent="0.2">
      <c r="B200" s="616">
        <f t="shared" si="60"/>
        <v>0</v>
      </c>
      <c r="C200" s="1047">
        <f>IF('Previsión de negocio'!$U243=E$1,'Previsión de negocio'!$F243,0)</f>
        <v>0</v>
      </c>
      <c r="D200" s="1047">
        <f>IF('Previsión de negocio'!$U243=F$1,'Previsión de negocio'!$F243,0)</f>
        <v>0</v>
      </c>
      <c r="E200" s="1047">
        <f>IF('Previsión de negocio'!$U243=G$1,'Previsión de negocio'!$F243,0)</f>
        <v>0</v>
      </c>
      <c r="F200" s="1047">
        <f>IF('Previsión de negocio'!$U243=H$1,'Previsión de negocio'!$F243,0)</f>
        <v>0</v>
      </c>
      <c r="G200" s="1047">
        <f>IF('Previsión de negocio'!$U243=I$1,'Previsión de negocio'!$F243,0)</f>
        <v>0</v>
      </c>
      <c r="H200" s="1047">
        <f>IF('Previsión de negocio'!$U243=J$1,'Previsión de negocio'!$F243,0)</f>
        <v>0</v>
      </c>
      <c r="I200" s="1047">
        <f>IF('Previsión de negocio'!$U243=K$1,'Previsión de negocio'!$F243,0)</f>
        <v>0</v>
      </c>
      <c r="J200" s="1047">
        <f>IF('Previsión de negocio'!$U243=L$1,'Previsión de negocio'!$F243,0)</f>
        <v>0</v>
      </c>
      <c r="K200" s="1047">
        <f>IF('Previsión de negocio'!$U243=M$1,'Previsión de negocio'!$F243,0)</f>
        <v>0</v>
      </c>
      <c r="L200" s="1047">
        <f>IF('Previsión de negocio'!$U243=N$1,'Previsión de negocio'!$F243,0)</f>
        <v>0</v>
      </c>
      <c r="M200" s="1047">
        <f>IF('Previsión de negocio'!$U243=O$1,'Previsión de negocio'!$F243,0)</f>
        <v>0</v>
      </c>
      <c r="N200" s="1047">
        <f>IF('Previsión de negocio'!$U243=P$1,'Previsión de negocio'!$F243,0)</f>
        <v>0</v>
      </c>
      <c r="O200" s="1047">
        <f t="shared" si="61"/>
        <v>0</v>
      </c>
      <c r="P200" s="616">
        <f>IF(P142+O200=0,0,IF('Previsión de negocio'!D243=1,'Previsión de negocio'!E243,'Previsión de negocio'!D243*'Previsión de negocio'!O151))</f>
        <v>0</v>
      </c>
      <c r="Q200" s="616"/>
      <c r="R200" s="616"/>
      <c r="S200" s="616"/>
      <c r="T200" s="616"/>
      <c r="U200" s="616"/>
    </row>
    <row r="201" spans="2:21" s="954" customFormat="1" hidden="1" x14ac:dyDescent="0.2">
      <c r="B201" s="616" t="str">
        <f t="shared" si="60"/>
        <v>Total</v>
      </c>
      <c r="C201" s="1047">
        <f>SUM(C191:C200)</f>
        <v>0</v>
      </c>
      <c r="D201" s="1047">
        <f t="shared" ref="D201:P201" si="62">SUM(D191:D200)</f>
        <v>0</v>
      </c>
      <c r="E201" s="1047">
        <f t="shared" si="62"/>
        <v>0</v>
      </c>
      <c r="F201" s="1047">
        <f t="shared" si="62"/>
        <v>0</v>
      </c>
      <c r="G201" s="1047">
        <f t="shared" si="62"/>
        <v>0</v>
      </c>
      <c r="H201" s="1047">
        <f t="shared" si="62"/>
        <v>0</v>
      </c>
      <c r="I201" s="1047">
        <f t="shared" si="62"/>
        <v>0</v>
      </c>
      <c r="J201" s="1047">
        <f t="shared" si="62"/>
        <v>0</v>
      </c>
      <c r="K201" s="1047">
        <f t="shared" si="62"/>
        <v>0</v>
      </c>
      <c r="L201" s="1047">
        <f t="shared" si="62"/>
        <v>0</v>
      </c>
      <c r="M201" s="1047">
        <f t="shared" si="62"/>
        <v>0</v>
      </c>
      <c r="N201" s="1047">
        <f t="shared" si="62"/>
        <v>0</v>
      </c>
      <c r="O201" s="1047">
        <f t="shared" si="62"/>
        <v>0</v>
      </c>
      <c r="P201" s="1047">
        <f t="shared" si="62"/>
        <v>0</v>
      </c>
      <c r="Q201" s="616"/>
      <c r="R201" s="616"/>
      <c r="S201" s="616"/>
      <c r="T201" s="616"/>
      <c r="U201" s="616"/>
    </row>
    <row r="202" spans="2:21" hidden="1" x14ac:dyDescent="0.2">
      <c r="B202" s="616" t="s">
        <v>729</v>
      </c>
      <c r="C202" s="1018">
        <f>IF('Datos generales'!$D$22&lt;=0,'Datos generales'!$D$16*C201+C201,0)</f>
        <v>0</v>
      </c>
      <c r="D202" s="1018">
        <f>IF('Datos generales'!$D$22&lt;=0,'Datos generales'!$D$16*D201+D201,0)</f>
        <v>0</v>
      </c>
      <c r="E202" s="1018">
        <f>IF('Datos generales'!$D$22&lt;=0,'Datos generales'!$D$16*E201+E201,0)</f>
        <v>0</v>
      </c>
      <c r="F202" s="1018">
        <f>IF('Datos generales'!$D$22&lt;=0,'Datos generales'!$D$16*F201+F201,0)</f>
        <v>0</v>
      </c>
      <c r="G202" s="1018">
        <f>IF('Datos generales'!$D$22&lt;=0,'Datos generales'!$D$16*G201+G201,0)</f>
        <v>0</v>
      </c>
      <c r="H202" s="1018">
        <f>IF('Datos generales'!$D$22&lt;=0,'Datos generales'!$D$16*H201+H201,0)</f>
        <v>0</v>
      </c>
      <c r="I202" s="1018">
        <f>IF('Datos generales'!$D$22&lt;=0,'Datos generales'!$D$16*I201+I201,0)</f>
        <v>0</v>
      </c>
      <c r="J202" s="1018">
        <f>IF('Datos generales'!$D$22&lt;=0,'Datos generales'!$D$16*J201+J201,0)</f>
        <v>0</v>
      </c>
      <c r="K202" s="1018">
        <f>IF('Datos generales'!$D$22&lt;=0,'Datos generales'!$D$16*K201+K201,0)</f>
        <v>0</v>
      </c>
      <c r="L202" s="1018">
        <f>IF('Datos generales'!$D$22&lt;=0,'Datos generales'!$D$16*L201+L201,0)</f>
        <v>0</v>
      </c>
      <c r="M202" s="1018">
        <f>IF('Datos generales'!$D$22&lt;=0,'Datos generales'!$D$16*M201+M201,0)</f>
        <v>0</v>
      </c>
      <c r="N202" s="1018">
        <f>IF('Datos generales'!$D$22&lt;=0,'Datos generales'!$D$16*N201+N201,0)</f>
        <v>0</v>
      </c>
      <c r="O202" s="1018">
        <f>IF('Datos generales'!$D$22&lt;=0,'Datos generales'!$D$16*O201+O201,0)</f>
        <v>0</v>
      </c>
      <c r="P202" s="1018">
        <f>IF('Datos generales'!$D$22&lt;=0,'Datos generales'!$D$16*P201+P201,0)</f>
        <v>0</v>
      </c>
      <c r="Q202" s="616"/>
      <c r="R202" s="616"/>
    </row>
    <row r="203" spans="2:21" x14ac:dyDescent="0.2">
      <c r="D203" s="42"/>
      <c r="E203" s="42"/>
      <c r="F203" s="42"/>
      <c r="G203" s="42"/>
      <c r="H203" s="42"/>
      <c r="I203" s="42"/>
      <c r="J203" s="42"/>
      <c r="K203" s="42"/>
      <c r="L203" s="42"/>
      <c r="M203" s="42"/>
      <c r="N203" s="42"/>
      <c r="O203" s="42"/>
      <c r="P203" s="42"/>
    </row>
    <row r="204" spans="2:21" ht="15.75" x14ac:dyDescent="0.25">
      <c r="B204" s="138" t="s">
        <v>722</v>
      </c>
      <c r="D204" s="138" t="s">
        <v>469</v>
      </c>
    </row>
    <row r="205" spans="2:21" ht="4.5" customHeight="1" thickBot="1" x14ac:dyDescent="0.25"/>
    <row r="206" spans="2:21" ht="24.75" customHeight="1" x14ac:dyDescent="0.2">
      <c r="B206" s="388" t="s">
        <v>704</v>
      </c>
      <c r="C206" s="458"/>
      <c r="D206" s="972" t="s">
        <v>296</v>
      </c>
      <c r="E206" s="973" t="s">
        <v>297</v>
      </c>
      <c r="F206" s="973" t="s">
        <v>298</v>
      </c>
      <c r="G206" s="973" t="s">
        <v>120</v>
      </c>
      <c r="H206" s="973" t="s">
        <v>121</v>
      </c>
      <c r="I206" s="973" t="s">
        <v>122</v>
      </c>
      <c r="J206" s="973" t="s">
        <v>123</v>
      </c>
      <c r="K206" s="973" t="s">
        <v>299</v>
      </c>
      <c r="L206" s="973" t="s">
        <v>300</v>
      </c>
      <c r="M206" s="973" t="s">
        <v>301</v>
      </c>
      <c r="N206" s="973" t="s">
        <v>302</v>
      </c>
      <c r="O206" s="974" t="s">
        <v>303</v>
      </c>
      <c r="P206" s="975" t="s">
        <v>711</v>
      </c>
    </row>
    <row r="207" spans="2:21" ht="15" customHeight="1" x14ac:dyDescent="0.2">
      <c r="B207" s="1462" t="s">
        <v>705</v>
      </c>
      <c r="C207" s="1463"/>
      <c r="D207" s="970"/>
      <c r="E207" s="955"/>
      <c r="F207" s="955"/>
      <c r="G207" s="955"/>
      <c r="H207" s="955"/>
      <c r="I207" s="955"/>
      <c r="J207" s="955"/>
      <c r="K207" s="955"/>
      <c r="L207" s="955"/>
      <c r="M207" s="955"/>
      <c r="N207" s="955"/>
      <c r="O207" s="955"/>
      <c r="P207" s="976"/>
    </row>
    <row r="208" spans="2:21" x14ac:dyDescent="0.2">
      <c r="B208" s="947" t="str">
        <f t="shared" ref="B208:B220" si="63">B13</f>
        <v>Producto o servicio 1</v>
      </c>
      <c r="C208" s="1015"/>
      <c r="D208" s="1049">
        <f>'Previsión de negocio'!D157*'Previsión de negocio'!D160</f>
        <v>0</v>
      </c>
      <c r="E208" s="831">
        <f>'Previsión de negocio'!E157*'Previsión de negocio'!E160</f>
        <v>0</v>
      </c>
      <c r="F208" s="831">
        <f>'Previsión de negocio'!F157*'Previsión de negocio'!F160</f>
        <v>0</v>
      </c>
      <c r="G208" s="831">
        <f>'Previsión de negocio'!G157*'Previsión de negocio'!G160</f>
        <v>0</v>
      </c>
      <c r="H208" s="831">
        <f>'Previsión de negocio'!H157*'Previsión de negocio'!H160</f>
        <v>0</v>
      </c>
      <c r="I208" s="831">
        <f>'Previsión de negocio'!I157*'Previsión de negocio'!I160</f>
        <v>0</v>
      </c>
      <c r="J208" s="831">
        <f>'Previsión de negocio'!J157*'Previsión de negocio'!J160</f>
        <v>0</v>
      </c>
      <c r="K208" s="831">
        <f>'Previsión de negocio'!K157*'Previsión de negocio'!K160</f>
        <v>0</v>
      </c>
      <c r="L208" s="831">
        <f>'Previsión de negocio'!L157*'Previsión de negocio'!L160</f>
        <v>0</v>
      </c>
      <c r="M208" s="831">
        <f>'Previsión de negocio'!M157*'Previsión de negocio'!M160</f>
        <v>0</v>
      </c>
      <c r="N208" s="831">
        <f>'Previsión de negocio'!N157*'Previsión de negocio'!N160</f>
        <v>0</v>
      </c>
      <c r="O208" s="834">
        <f>'Previsión de negocio'!O157*'Previsión de negocio'!O160</f>
        <v>0</v>
      </c>
      <c r="P208" s="847">
        <f t="shared" ref="P208:P234" si="64">SUM(D208:O208)</f>
        <v>0</v>
      </c>
    </row>
    <row r="209" spans="2:16" x14ac:dyDescent="0.2">
      <c r="B209" s="947" t="str">
        <f t="shared" si="63"/>
        <v>Producto o servicio 2</v>
      </c>
      <c r="C209" s="1119"/>
      <c r="D209" s="1050">
        <f>'Previsión de negocio'!D163*'Previsión de negocio'!D166</f>
        <v>0</v>
      </c>
      <c r="E209" s="428">
        <f>'Previsión de negocio'!E163*'Previsión de negocio'!E166</f>
        <v>0</v>
      </c>
      <c r="F209" s="428">
        <f>'Previsión de negocio'!F163*'Previsión de negocio'!F166</f>
        <v>0</v>
      </c>
      <c r="G209" s="428">
        <f>'Previsión de negocio'!G163*'Previsión de negocio'!G166</f>
        <v>0</v>
      </c>
      <c r="H209" s="428">
        <f>'Previsión de negocio'!H163*'Previsión de negocio'!H166</f>
        <v>0</v>
      </c>
      <c r="I209" s="428">
        <f>'Previsión de negocio'!I163*'Previsión de negocio'!I166</f>
        <v>0</v>
      </c>
      <c r="J209" s="428">
        <f>'Previsión de negocio'!J163*'Previsión de negocio'!J166</f>
        <v>0</v>
      </c>
      <c r="K209" s="428">
        <f>'Previsión de negocio'!K163*'Previsión de negocio'!K166</f>
        <v>0</v>
      </c>
      <c r="L209" s="428">
        <f>'Previsión de negocio'!L163*'Previsión de negocio'!L166</f>
        <v>0</v>
      </c>
      <c r="M209" s="428">
        <f>'Previsión de negocio'!M163*'Previsión de negocio'!M166</f>
        <v>0</v>
      </c>
      <c r="N209" s="428">
        <f>'Previsión de negocio'!N163*'Previsión de negocio'!N166</f>
        <v>0</v>
      </c>
      <c r="O209" s="835">
        <f>'Previsión de negocio'!O163*'Previsión de negocio'!O166</f>
        <v>0</v>
      </c>
      <c r="P209" s="457">
        <f t="shared" si="64"/>
        <v>0</v>
      </c>
    </row>
    <row r="210" spans="2:16" x14ac:dyDescent="0.2">
      <c r="B210" s="947" t="str">
        <f t="shared" si="63"/>
        <v>Producto o servicio 3</v>
      </c>
      <c r="C210" s="1119"/>
      <c r="D210" s="1050">
        <f>'Previsión de negocio'!D169*'Previsión de negocio'!D172</f>
        <v>0</v>
      </c>
      <c r="E210" s="428">
        <f>'Previsión de negocio'!E169*'Previsión de negocio'!E172</f>
        <v>0</v>
      </c>
      <c r="F210" s="428">
        <f>'Previsión de negocio'!F169*'Previsión de negocio'!F172</f>
        <v>0</v>
      </c>
      <c r="G210" s="428">
        <f>'Previsión de negocio'!G169*'Previsión de negocio'!G172</f>
        <v>0</v>
      </c>
      <c r="H210" s="428">
        <f>'Previsión de negocio'!H169*'Previsión de negocio'!H172</f>
        <v>0</v>
      </c>
      <c r="I210" s="428">
        <f>'Previsión de negocio'!I169*'Previsión de negocio'!I172</f>
        <v>0</v>
      </c>
      <c r="J210" s="428">
        <f>'Previsión de negocio'!J169*'Previsión de negocio'!J172</f>
        <v>0</v>
      </c>
      <c r="K210" s="428">
        <f>'Previsión de negocio'!K169*'Previsión de negocio'!K172</f>
        <v>0</v>
      </c>
      <c r="L210" s="428">
        <f>'Previsión de negocio'!L169*'Previsión de negocio'!L172</f>
        <v>0</v>
      </c>
      <c r="M210" s="428">
        <f>'Previsión de negocio'!M169*'Previsión de negocio'!M172</f>
        <v>0</v>
      </c>
      <c r="N210" s="428">
        <f>'Previsión de negocio'!N169*'Previsión de negocio'!N172</f>
        <v>0</v>
      </c>
      <c r="O210" s="835">
        <f>'Previsión de negocio'!O169*'Previsión de negocio'!O172</f>
        <v>0</v>
      </c>
      <c r="P210" s="457">
        <f t="shared" si="64"/>
        <v>0</v>
      </c>
    </row>
    <row r="211" spans="2:16" x14ac:dyDescent="0.2">
      <c r="B211" s="947">
        <f t="shared" si="63"/>
        <v>0</v>
      </c>
      <c r="C211" s="1119"/>
      <c r="D211" s="1050">
        <f>'Previsión de negocio'!D175*'Previsión de negocio'!D178</f>
        <v>0</v>
      </c>
      <c r="E211" s="428">
        <f>'Previsión de negocio'!E175*'Previsión de negocio'!E178</f>
        <v>0</v>
      </c>
      <c r="F211" s="428">
        <f>'Previsión de negocio'!F175*'Previsión de negocio'!F178</f>
        <v>0</v>
      </c>
      <c r="G211" s="428">
        <f>'Previsión de negocio'!G175*'Previsión de negocio'!G178</f>
        <v>0</v>
      </c>
      <c r="H211" s="428">
        <f>'Previsión de negocio'!H175*'Previsión de negocio'!H178</f>
        <v>0</v>
      </c>
      <c r="I211" s="428">
        <f>'Previsión de negocio'!I175*'Previsión de negocio'!I178</f>
        <v>0</v>
      </c>
      <c r="J211" s="428">
        <f>'Previsión de negocio'!J175*'Previsión de negocio'!J178</f>
        <v>0</v>
      </c>
      <c r="K211" s="428">
        <f>'Previsión de negocio'!K175*'Previsión de negocio'!K178</f>
        <v>0</v>
      </c>
      <c r="L211" s="428">
        <f>'Previsión de negocio'!L175*'Previsión de negocio'!L178</f>
        <v>0</v>
      </c>
      <c r="M211" s="428">
        <f>'Previsión de negocio'!M175*'Previsión de negocio'!M178</f>
        <v>0</v>
      </c>
      <c r="N211" s="428">
        <f>'Previsión de negocio'!N175*'Previsión de negocio'!N178</f>
        <v>0</v>
      </c>
      <c r="O211" s="835">
        <f>'Previsión de negocio'!O175*'Previsión de negocio'!O178</f>
        <v>0</v>
      </c>
      <c r="P211" s="457">
        <f t="shared" si="64"/>
        <v>0</v>
      </c>
    </row>
    <row r="212" spans="2:16" x14ac:dyDescent="0.2">
      <c r="B212" s="947">
        <f t="shared" si="63"/>
        <v>0</v>
      </c>
      <c r="C212" s="1119"/>
      <c r="D212" s="1050">
        <f>'Previsión de negocio'!D181*'Previsión de negocio'!D184</f>
        <v>0</v>
      </c>
      <c r="E212" s="428">
        <f>'Previsión de negocio'!E181*'Previsión de negocio'!E184</f>
        <v>0</v>
      </c>
      <c r="F212" s="428">
        <f>'Previsión de negocio'!F181*'Previsión de negocio'!F184</f>
        <v>0</v>
      </c>
      <c r="G212" s="428">
        <f>'Previsión de negocio'!G181*'Previsión de negocio'!G184</f>
        <v>0</v>
      </c>
      <c r="H212" s="428">
        <f>'Previsión de negocio'!H181*'Previsión de negocio'!H184</f>
        <v>0</v>
      </c>
      <c r="I212" s="428">
        <f>'Previsión de negocio'!I181*'Previsión de negocio'!I184</f>
        <v>0</v>
      </c>
      <c r="J212" s="428">
        <f>'Previsión de negocio'!J181*'Previsión de negocio'!J184</f>
        <v>0</v>
      </c>
      <c r="K212" s="428">
        <f>'Previsión de negocio'!K181*'Previsión de negocio'!K184</f>
        <v>0</v>
      </c>
      <c r="L212" s="428">
        <f>'Previsión de negocio'!L181*'Previsión de negocio'!L184</f>
        <v>0</v>
      </c>
      <c r="M212" s="428">
        <f>'Previsión de negocio'!M181*'Previsión de negocio'!M184</f>
        <v>0</v>
      </c>
      <c r="N212" s="428">
        <f>'Previsión de negocio'!N181*'Previsión de negocio'!N184</f>
        <v>0</v>
      </c>
      <c r="O212" s="835">
        <f>'Previsión de negocio'!O181*'Previsión de negocio'!O184</f>
        <v>0</v>
      </c>
      <c r="P212" s="457">
        <f t="shared" si="64"/>
        <v>0</v>
      </c>
    </row>
    <row r="213" spans="2:16" x14ac:dyDescent="0.2">
      <c r="B213" s="947">
        <f t="shared" si="63"/>
        <v>0</v>
      </c>
      <c r="C213" s="1119"/>
      <c r="D213" s="1050">
        <f>'Previsión de negocio'!D187*'Previsión de negocio'!D190</f>
        <v>0</v>
      </c>
      <c r="E213" s="428">
        <f>'Previsión de negocio'!E187*'Previsión de negocio'!E190</f>
        <v>0</v>
      </c>
      <c r="F213" s="428">
        <f>'Previsión de negocio'!F187*'Previsión de negocio'!F190</f>
        <v>0</v>
      </c>
      <c r="G213" s="428">
        <f>'Previsión de negocio'!G187*'Previsión de negocio'!G190</f>
        <v>0</v>
      </c>
      <c r="H213" s="428">
        <f>'Previsión de negocio'!H187*'Previsión de negocio'!H190</f>
        <v>0</v>
      </c>
      <c r="I213" s="428">
        <f>'Previsión de negocio'!I187*'Previsión de negocio'!I190</f>
        <v>0</v>
      </c>
      <c r="J213" s="428">
        <f>'Previsión de negocio'!J187*'Previsión de negocio'!J190</f>
        <v>0</v>
      </c>
      <c r="K213" s="428">
        <f>'Previsión de negocio'!K187*'Previsión de negocio'!K190</f>
        <v>0</v>
      </c>
      <c r="L213" s="428">
        <f>'Previsión de negocio'!L187*'Previsión de negocio'!L190</f>
        <v>0</v>
      </c>
      <c r="M213" s="428">
        <f>'Previsión de negocio'!M187*'Previsión de negocio'!M190</f>
        <v>0</v>
      </c>
      <c r="N213" s="428">
        <f>'Previsión de negocio'!N187*'Previsión de negocio'!N190</f>
        <v>0</v>
      </c>
      <c r="O213" s="835">
        <f>'Previsión de negocio'!O187*'Previsión de negocio'!O190</f>
        <v>0</v>
      </c>
      <c r="P213" s="457">
        <f t="shared" si="64"/>
        <v>0</v>
      </c>
    </row>
    <row r="214" spans="2:16" x14ac:dyDescent="0.2">
      <c r="B214" s="947">
        <f t="shared" si="63"/>
        <v>0</v>
      </c>
      <c r="C214" s="1119"/>
      <c r="D214" s="1050">
        <f>'Previsión de negocio'!D193*'Previsión de negocio'!D196</f>
        <v>0</v>
      </c>
      <c r="E214" s="428">
        <f>'Previsión de negocio'!E193*'Previsión de negocio'!E196</f>
        <v>0</v>
      </c>
      <c r="F214" s="428">
        <f>'Previsión de negocio'!F193*'Previsión de negocio'!F196</f>
        <v>0</v>
      </c>
      <c r="G214" s="428">
        <f>'Previsión de negocio'!G193*'Previsión de negocio'!G196</f>
        <v>0</v>
      </c>
      <c r="H214" s="428">
        <f>'Previsión de negocio'!H193*'Previsión de negocio'!H196</f>
        <v>0</v>
      </c>
      <c r="I214" s="428">
        <f>'Previsión de negocio'!I193*'Previsión de negocio'!I196</f>
        <v>0</v>
      </c>
      <c r="J214" s="428">
        <f>'Previsión de negocio'!J193*'Previsión de negocio'!J196</f>
        <v>0</v>
      </c>
      <c r="K214" s="428">
        <f>'Previsión de negocio'!K193*'Previsión de negocio'!K196</f>
        <v>0</v>
      </c>
      <c r="L214" s="428">
        <f>'Previsión de negocio'!L193*'Previsión de negocio'!L196</f>
        <v>0</v>
      </c>
      <c r="M214" s="428">
        <f>'Previsión de negocio'!M193*'Previsión de negocio'!M196</f>
        <v>0</v>
      </c>
      <c r="N214" s="428">
        <f>'Previsión de negocio'!N193*'Previsión de negocio'!N196</f>
        <v>0</v>
      </c>
      <c r="O214" s="835">
        <f>'Previsión de negocio'!O193*'Previsión de negocio'!O196</f>
        <v>0</v>
      </c>
      <c r="P214" s="457">
        <f t="shared" si="64"/>
        <v>0</v>
      </c>
    </row>
    <row r="215" spans="2:16" x14ac:dyDescent="0.2">
      <c r="B215" s="947">
        <f t="shared" si="63"/>
        <v>0</v>
      </c>
      <c r="C215" s="1119"/>
      <c r="D215" s="1050">
        <f>'Previsión de negocio'!D199*'Previsión de negocio'!D202</f>
        <v>0</v>
      </c>
      <c r="E215" s="428">
        <f>'Previsión de negocio'!E199*'Previsión de negocio'!E202</f>
        <v>0</v>
      </c>
      <c r="F215" s="428">
        <f>'Previsión de negocio'!F199*'Previsión de negocio'!F202</f>
        <v>0</v>
      </c>
      <c r="G215" s="428">
        <f>'Previsión de negocio'!G199*'Previsión de negocio'!G202</f>
        <v>0</v>
      </c>
      <c r="H215" s="428">
        <f>'Previsión de negocio'!H199*'Previsión de negocio'!H202</f>
        <v>0</v>
      </c>
      <c r="I215" s="428">
        <f>'Previsión de negocio'!I199*'Previsión de negocio'!I202</f>
        <v>0</v>
      </c>
      <c r="J215" s="428">
        <f>'Previsión de negocio'!J199*'Previsión de negocio'!J202</f>
        <v>0</v>
      </c>
      <c r="K215" s="428">
        <f>'Previsión de negocio'!K199*'Previsión de negocio'!K202</f>
        <v>0</v>
      </c>
      <c r="L215" s="428">
        <f>'Previsión de negocio'!L199*'Previsión de negocio'!L202</f>
        <v>0</v>
      </c>
      <c r="M215" s="428">
        <f>'Previsión de negocio'!M199*'Previsión de negocio'!M202</f>
        <v>0</v>
      </c>
      <c r="N215" s="428">
        <f>'Previsión de negocio'!N199*'Previsión de negocio'!N202</f>
        <v>0</v>
      </c>
      <c r="O215" s="835">
        <f>'Previsión de negocio'!O199*'Previsión de negocio'!O202</f>
        <v>0</v>
      </c>
      <c r="P215" s="457">
        <f t="shared" si="64"/>
        <v>0</v>
      </c>
    </row>
    <row r="216" spans="2:16" x14ac:dyDescent="0.2">
      <c r="B216" s="947">
        <f t="shared" si="63"/>
        <v>0</v>
      </c>
      <c r="C216" s="1119"/>
      <c r="D216" s="1050">
        <f>'Previsión de negocio'!D205*'Previsión de negocio'!D208</f>
        <v>0</v>
      </c>
      <c r="E216" s="428">
        <f>'Previsión de negocio'!E205*'Previsión de negocio'!E208</f>
        <v>0</v>
      </c>
      <c r="F216" s="428">
        <f>'Previsión de negocio'!F205*'Previsión de negocio'!F208</f>
        <v>0</v>
      </c>
      <c r="G216" s="428">
        <f>'Previsión de negocio'!G205*'Previsión de negocio'!G208</f>
        <v>0</v>
      </c>
      <c r="H216" s="428">
        <f>'Previsión de negocio'!H205*'Previsión de negocio'!H208</f>
        <v>0</v>
      </c>
      <c r="I216" s="428">
        <f>'Previsión de negocio'!I205*'Previsión de negocio'!I208</f>
        <v>0</v>
      </c>
      <c r="J216" s="428">
        <f>'Previsión de negocio'!J205*'Previsión de negocio'!J208</f>
        <v>0</v>
      </c>
      <c r="K216" s="428">
        <f>'Previsión de negocio'!K205*'Previsión de negocio'!K208</f>
        <v>0</v>
      </c>
      <c r="L216" s="428">
        <f>'Previsión de negocio'!L205*'Previsión de negocio'!L208</f>
        <v>0</v>
      </c>
      <c r="M216" s="428">
        <f>'Previsión de negocio'!M205*'Previsión de negocio'!M208</f>
        <v>0</v>
      </c>
      <c r="N216" s="428">
        <f>'Previsión de negocio'!N205*'Previsión de negocio'!N208</f>
        <v>0</v>
      </c>
      <c r="O216" s="835">
        <f>'Previsión de negocio'!O205*'Previsión de negocio'!O208</f>
        <v>0</v>
      </c>
      <c r="P216" s="457">
        <f t="shared" si="64"/>
        <v>0</v>
      </c>
    </row>
    <row r="217" spans="2:16" x14ac:dyDescent="0.2">
      <c r="B217" s="947">
        <f t="shared" si="63"/>
        <v>0</v>
      </c>
      <c r="C217" s="1119"/>
      <c r="D217" s="1050">
        <f>'Previsión de negocio'!D211*'Previsión de negocio'!D214</f>
        <v>0</v>
      </c>
      <c r="E217" s="428">
        <f>'Previsión de negocio'!E211*'Previsión de negocio'!E214</f>
        <v>0</v>
      </c>
      <c r="F217" s="428">
        <f>'Previsión de negocio'!F211*'Previsión de negocio'!F214</f>
        <v>0</v>
      </c>
      <c r="G217" s="428">
        <f>'Previsión de negocio'!G211*'Previsión de negocio'!G214</f>
        <v>0</v>
      </c>
      <c r="H217" s="428">
        <f>'Previsión de negocio'!H211*'Previsión de negocio'!H214</f>
        <v>0</v>
      </c>
      <c r="I217" s="428">
        <f>'Previsión de negocio'!I211*'Previsión de negocio'!I214</f>
        <v>0</v>
      </c>
      <c r="J217" s="428">
        <f>'Previsión de negocio'!J211*'Previsión de negocio'!J214</f>
        <v>0</v>
      </c>
      <c r="K217" s="428">
        <f>'Previsión de negocio'!K211*'Previsión de negocio'!K214</f>
        <v>0</v>
      </c>
      <c r="L217" s="428">
        <f>'Previsión de negocio'!L211*'Previsión de negocio'!L214</f>
        <v>0</v>
      </c>
      <c r="M217" s="428">
        <f>'Previsión de negocio'!M211*'Previsión de negocio'!M214</f>
        <v>0</v>
      </c>
      <c r="N217" s="428">
        <f>'Previsión de negocio'!N211*'Previsión de negocio'!N214</f>
        <v>0</v>
      </c>
      <c r="O217" s="835">
        <f>'Previsión de negocio'!O211*'Previsión de negocio'!O214</f>
        <v>0</v>
      </c>
      <c r="P217" s="457">
        <f t="shared" si="64"/>
        <v>0</v>
      </c>
    </row>
    <row r="218" spans="2:16" s="1" customFormat="1" x14ac:dyDescent="0.2">
      <c r="B218" s="850" t="str">
        <f t="shared" si="63"/>
        <v>Total</v>
      </c>
      <c r="C218" s="1120"/>
      <c r="D218" s="935">
        <f>SUM(D208:D217)</f>
        <v>0</v>
      </c>
      <c r="E218" s="295">
        <f t="shared" ref="E218:O218" si="65">SUM(E208:E217)</f>
        <v>0</v>
      </c>
      <c r="F218" s="295">
        <f t="shared" si="65"/>
        <v>0</v>
      </c>
      <c r="G218" s="295">
        <f t="shared" si="65"/>
        <v>0</v>
      </c>
      <c r="H218" s="295">
        <f t="shared" si="65"/>
        <v>0</v>
      </c>
      <c r="I218" s="295">
        <f t="shared" si="65"/>
        <v>0</v>
      </c>
      <c r="J218" s="295">
        <f t="shared" si="65"/>
        <v>0</v>
      </c>
      <c r="K218" s="295">
        <f t="shared" si="65"/>
        <v>0</v>
      </c>
      <c r="L218" s="295">
        <f t="shared" si="65"/>
        <v>0</v>
      </c>
      <c r="M218" s="295">
        <f t="shared" si="65"/>
        <v>0</v>
      </c>
      <c r="N218" s="295">
        <f t="shared" si="65"/>
        <v>0</v>
      </c>
      <c r="O218" s="639">
        <f t="shared" si="65"/>
        <v>0</v>
      </c>
      <c r="P218" s="457">
        <f t="shared" si="64"/>
        <v>0</v>
      </c>
    </row>
    <row r="219" spans="2:16" x14ac:dyDescent="0.2">
      <c r="B219" s="956" t="str">
        <f t="shared" si="63"/>
        <v>IVA</v>
      </c>
      <c r="C219" s="848"/>
      <c r="D219" s="500">
        <f>IF('Datos generales'!$D$22&lt;=0,'Datos generales'!$D$16*D218,0)</f>
        <v>0</v>
      </c>
      <c r="E219" s="289">
        <f>IF('Datos generales'!$D$22&lt;=0,'Datos generales'!$D$16*E218,0)</f>
        <v>0</v>
      </c>
      <c r="F219" s="289">
        <f>IF('Datos generales'!$D$22&lt;=0,'Datos generales'!$D$16*F218,0)</f>
        <v>0</v>
      </c>
      <c r="G219" s="289">
        <f>IF('Datos generales'!$D$22&lt;=0,'Datos generales'!$D$16*G218,0)</f>
        <v>0</v>
      </c>
      <c r="H219" s="289">
        <f>IF('Datos generales'!$D$22&lt;=0,'Datos generales'!$D$16*H218,0)</f>
        <v>0</v>
      </c>
      <c r="I219" s="289">
        <f>IF('Datos generales'!$D$22&lt;=0,'Datos generales'!$D$16*I218,0)</f>
        <v>0</v>
      </c>
      <c r="J219" s="289">
        <f>IF('Datos generales'!$D$22&lt;=0,'Datos generales'!$D$16*J218,0)</f>
        <v>0</v>
      </c>
      <c r="K219" s="289">
        <f>IF('Datos generales'!$D$22&lt;=0,'Datos generales'!$D$16*K218,0)</f>
        <v>0</v>
      </c>
      <c r="L219" s="289">
        <f>IF('Datos generales'!$D$22&lt;=0,'Datos generales'!$D$16*L218,0)</f>
        <v>0</v>
      </c>
      <c r="M219" s="289">
        <f>IF('Datos generales'!$D$22&lt;=0,'Datos generales'!$D$16*M218,0)</f>
        <v>0</v>
      </c>
      <c r="N219" s="289">
        <f>IF('Datos generales'!$D$22&lt;=0,'Datos generales'!$D$16*N218,0)</f>
        <v>0</v>
      </c>
      <c r="O219" s="501">
        <f>IF('Datos generales'!$D$22&lt;=0,'Datos generales'!$D$16*O218,0)</f>
        <v>0</v>
      </c>
      <c r="P219" s="457">
        <f t="shared" si="64"/>
        <v>0</v>
      </c>
    </row>
    <row r="220" spans="2:16" x14ac:dyDescent="0.2">
      <c r="B220" s="430" t="str">
        <f t="shared" si="63"/>
        <v>Total coste productos:</v>
      </c>
      <c r="C220" s="201"/>
      <c r="D220" s="377">
        <f t="shared" ref="D220:O220" si="66">D218+D219</f>
        <v>0</v>
      </c>
      <c r="E220" s="201">
        <f t="shared" si="66"/>
        <v>0</v>
      </c>
      <c r="F220" s="201">
        <f t="shared" si="66"/>
        <v>0</v>
      </c>
      <c r="G220" s="201">
        <f t="shared" si="66"/>
        <v>0</v>
      </c>
      <c r="H220" s="201">
        <f t="shared" si="66"/>
        <v>0</v>
      </c>
      <c r="I220" s="201">
        <f t="shared" si="66"/>
        <v>0</v>
      </c>
      <c r="J220" s="201">
        <f t="shared" si="66"/>
        <v>0</v>
      </c>
      <c r="K220" s="201">
        <f t="shared" si="66"/>
        <v>0</v>
      </c>
      <c r="L220" s="201">
        <f t="shared" si="66"/>
        <v>0</v>
      </c>
      <c r="M220" s="201">
        <f t="shared" si="66"/>
        <v>0</v>
      </c>
      <c r="N220" s="201">
        <f t="shared" si="66"/>
        <v>0</v>
      </c>
      <c r="O220" s="348">
        <f t="shared" si="66"/>
        <v>0</v>
      </c>
      <c r="P220" s="371">
        <f t="shared" si="64"/>
        <v>0</v>
      </c>
    </row>
    <row r="221" spans="2:16" ht="23.25" customHeight="1" x14ac:dyDescent="0.2">
      <c r="B221" s="1462" t="s">
        <v>725</v>
      </c>
      <c r="C221" s="1466"/>
      <c r="D221" s="971"/>
      <c r="E221" s="61"/>
      <c r="F221" s="61"/>
      <c r="G221" s="61"/>
      <c r="H221" s="61"/>
      <c r="I221" s="61"/>
      <c r="J221" s="61"/>
      <c r="K221" s="61"/>
      <c r="L221" s="61"/>
      <c r="M221" s="61"/>
      <c r="N221" s="61"/>
      <c r="O221" s="849"/>
      <c r="P221" s="851"/>
    </row>
    <row r="222" spans="2:16" x14ac:dyDescent="0.2">
      <c r="B222" s="947" t="str">
        <f>B13</f>
        <v>Producto o servicio 1</v>
      </c>
      <c r="C222" s="61"/>
      <c r="D222" s="1049">
        <f>'Previsión de negocio'!D161</f>
        <v>0</v>
      </c>
      <c r="E222" s="831">
        <f>'Previsión de negocio'!E161</f>
        <v>0</v>
      </c>
      <c r="F222" s="831">
        <f>'Previsión de negocio'!F161</f>
        <v>0</v>
      </c>
      <c r="G222" s="831">
        <f>'Previsión de negocio'!G161</f>
        <v>0</v>
      </c>
      <c r="H222" s="831">
        <f>'Previsión de negocio'!H161</f>
        <v>0</v>
      </c>
      <c r="I222" s="831">
        <f>'Previsión de negocio'!I161</f>
        <v>0</v>
      </c>
      <c r="J222" s="831">
        <f>'Previsión de negocio'!J161</f>
        <v>0</v>
      </c>
      <c r="K222" s="831">
        <f>'Previsión de negocio'!K161</f>
        <v>0</v>
      </c>
      <c r="L222" s="831">
        <f>'Previsión de negocio'!L161</f>
        <v>0</v>
      </c>
      <c r="M222" s="831">
        <f>'Previsión de negocio'!M161</f>
        <v>0</v>
      </c>
      <c r="N222" s="831">
        <f>'Previsión de negocio'!N161</f>
        <v>0</v>
      </c>
      <c r="O222" s="831">
        <f>'Previsión de negocio'!O161</f>
        <v>0</v>
      </c>
      <c r="P222" s="847">
        <f t="shared" si="64"/>
        <v>0</v>
      </c>
    </row>
    <row r="223" spans="2:16" x14ac:dyDescent="0.2">
      <c r="B223" s="947" t="str">
        <f t="shared" ref="B223:B233" si="67">B14</f>
        <v>Producto o servicio 2</v>
      </c>
      <c r="C223" s="61"/>
      <c r="D223" s="1049">
        <f>'Previsión de negocio'!D167</f>
        <v>0</v>
      </c>
      <c r="E223" s="831">
        <f>'Previsión de negocio'!E167</f>
        <v>0</v>
      </c>
      <c r="F223" s="831">
        <f>'Previsión de negocio'!F167</f>
        <v>0</v>
      </c>
      <c r="G223" s="831">
        <f>'Previsión de negocio'!G167</f>
        <v>0</v>
      </c>
      <c r="H223" s="831">
        <f>'Previsión de negocio'!H167</f>
        <v>0</v>
      </c>
      <c r="I223" s="831">
        <f>'Previsión de negocio'!I167</f>
        <v>0</v>
      </c>
      <c r="J223" s="831">
        <f>'Previsión de negocio'!J167</f>
        <v>0</v>
      </c>
      <c r="K223" s="831">
        <f>'Previsión de negocio'!K167</f>
        <v>0</v>
      </c>
      <c r="L223" s="831">
        <f>'Previsión de negocio'!L167</f>
        <v>0</v>
      </c>
      <c r="M223" s="831">
        <f>'Previsión de negocio'!M167</f>
        <v>0</v>
      </c>
      <c r="N223" s="831">
        <f>'Previsión de negocio'!N167</f>
        <v>0</v>
      </c>
      <c r="O223" s="831">
        <f>'Previsión de negocio'!O167</f>
        <v>0</v>
      </c>
      <c r="P223" s="847">
        <f t="shared" si="64"/>
        <v>0</v>
      </c>
    </row>
    <row r="224" spans="2:16" x14ac:dyDescent="0.2">
      <c r="B224" s="947" t="str">
        <f t="shared" si="67"/>
        <v>Producto o servicio 3</v>
      </c>
      <c r="C224" s="61"/>
      <c r="D224" s="1049">
        <f>'Previsión de negocio'!D173</f>
        <v>0</v>
      </c>
      <c r="E224" s="831">
        <f>'Previsión de negocio'!E173</f>
        <v>0</v>
      </c>
      <c r="F224" s="831">
        <f>'Previsión de negocio'!F173</f>
        <v>0</v>
      </c>
      <c r="G224" s="831">
        <f>'Previsión de negocio'!G173</f>
        <v>0</v>
      </c>
      <c r="H224" s="831">
        <f>'Previsión de negocio'!H173</f>
        <v>0</v>
      </c>
      <c r="I224" s="831">
        <f>'Previsión de negocio'!I173</f>
        <v>0</v>
      </c>
      <c r="J224" s="831">
        <f>'Previsión de negocio'!J173</f>
        <v>0</v>
      </c>
      <c r="K224" s="831">
        <f>'Previsión de negocio'!K173</f>
        <v>0</v>
      </c>
      <c r="L224" s="831">
        <f>'Previsión de negocio'!L173</f>
        <v>0</v>
      </c>
      <c r="M224" s="831">
        <f>'Previsión de negocio'!M173</f>
        <v>0</v>
      </c>
      <c r="N224" s="831">
        <f>'Previsión de negocio'!N173</f>
        <v>0</v>
      </c>
      <c r="O224" s="831">
        <f>'Previsión de negocio'!O173</f>
        <v>0</v>
      </c>
      <c r="P224" s="847">
        <f t="shared" si="64"/>
        <v>0</v>
      </c>
    </row>
    <row r="225" spans="2:17" x14ac:dyDescent="0.2">
      <c r="B225" s="947">
        <f t="shared" si="67"/>
        <v>0</v>
      </c>
      <c r="C225" s="61"/>
      <c r="D225" s="1049">
        <f>'Previsión de negocio'!D179</f>
        <v>0</v>
      </c>
      <c r="E225" s="831">
        <f>'Previsión de negocio'!E179</f>
        <v>0</v>
      </c>
      <c r="F225" s="831">
        <f>'Previsión de negocio'!F179</f>
        <v>0</v>
      </c>
      <c r="G225" s="831">
        <f>'Previsión de negocio'!G179</f>
        <v>0</v>
      </c>
      <c r="H225" s="831">
        <f>'Previsión de negocio'!H179</f>
        <v>0</v>
      </c>
      <c r="I225" s="831">
        <f>'Previsión de negocio'!I179</f>
        <v>0</v>
      </c>
      <c r="J225" s="831">
        <f>'Previsión de negocio'!J179</f>
        <v>0</v>
      </c>
      <c r="K225" s="831">
        <f>'Previsión de negocio'!K179</f>
        <v>0</v>
      </c>
      <c r="L225" s="831">
        <f>'Previsión de negocio'!L179</f>
        <v>0</v>
      </c>
      <c r="M225" s="831">
        <f>'Previsión de negocio'!M179</f>
        <v>0</v>
      </c>
      <c r="N225" s="831">
        <f>'Previsión de negocio'!N179</f>
        <v>0</v>
      </c>
      <c r="O225" s="831">
        <f>'Previsión de negocio'!O179</f>
        <v>0</v>
      </c>
      <c r="P225" s="847">
        <f t="shared" si="64"/>
        <v>0</v>
      </c>
    </row>
    <row r="226" spans="2:17" x14ac:dyDescent="0.2">
      <c r="B226" s="947">
        <f t="shared" si="67"/>
        <v>0</v>
      </c>
      <c r="C226" s="61"/>
      <c r="D226" s="1049">
        <f>'Previsión de negocio'!D185</f>
        <v>0</v>
      </c>
      <c r="E226" s="831">
        <f>'Previsión de negocio'!E185</f>
        <v>0</v>
      </c>
      <c r="F226" s="831">
        <f>'Previsión de negocio'!F185</f>
        <v>0</v>
      </c>
      <c r="G226" s="831">
        <f>'Previsión de negocio'!G185</f>
        <v>0</v>
      </c>
      <c r="H226" s="831">
        <f>'Previsión de negocio'!H185</f>
        <v>0</v>
      </c>
      <c r="I226" s="831">
        <f>'Previsión de negocio'!I185</f>
        <v>0</v>
      </c>
      <c r="J226" s="831">
        <f>'Previsión de negocio'!J185</f>
        <v>0</v>
      </c>
      <c r="K226" s="831">
        <f>'Previsión de negocio'!K185</f>
        <v>0</v>
      </c>
      <c r="L226" s="831">
        <f>'Previsión de negocio'!L185</f>
        <v>0</v>
      </c>
      <c r="M226" s="831">
        <f>'Previsión de negocio'!M185</f>
        <v>0</v>
      </c>
      <c r="N226" s="831">
        <f>'Previsión de negocio'!N185</f>
        <v>0</v>
      </c>
      <c r="O226" s="831">
        <f>'Previsión de negocio'!O185</f>
        <v>0</v>
      </c>
      <c r="P226" s="847">
        <f t="shared" si="64"/>
        <v>0</v>
      </c>
    </row>
    <row r="227" spans="2:17" x14ac:dyDescent="0.2">
      <c r="B227" s="947">
        <f t="shared" si="67"/>
        <v>0</v>
      </c>
      <c r="C227" s="61"/>
      <c r="D227" s="1049">
        <f>'Previsión de negocio'!D191</f>
        <v>0</v>
      </c>
      <c r="E227" s="831">
        <f>'Previsión de negocio'!E191</f>
        <v>0</v>
      </c>
      <c r="F227" s="831">
        <f>'Previsión de negocio'!F191</f>
        <v>0</v>
      </c>
      <c r="G227" s="831">
        <f>'Previsión de negocio'!G191</f>
        <v>0</v>
      </c>
      <c r="H227" s="831">
        <f>'Previsión de negocio'!H191</f>
        <v>0</v>
      </c>
      <c r="I227" s="831">
        <f>'Previsión de negocio'!I191</f>
        <v>0</v>
      </c>
      <c r="J227" s="831">
        <f>'Previsión de negocio'!J191</f>
        <v>0</v>
      </c>
      <c r="K227" s="831">
        <f>'Previsión de negocio'!K191</f>
        <v>0</v>
      </c>
      <c r="L227" s="831">
        <f>'Previsión de negocio'!L191</f>
        <v>0</v>
      </c>
      <c r="M227" s="831">
        <f>'Previsión de negocio'!M191</f>
        <v>0</v>
      </c>
      <c r="N227" s="831">
        <f>'Previsión de negocio'!N191</f>
        <v>0</v>
      </c>
      <c r="O227" s="831">
        <f>'Previsión de negocio'!O191</f>
        <v>0</v>
      </c>
      <c r="P227" s="847">
        <f t="shared" si="64"/>
        <v>0</v>
      </c>
    </row>
    <row r="228" spans="2:17" x14ac:dyDescent="0.2">
      <c r="B228" s="947">
        <f t="shared" si="67"/>
        <v>0</v>
      </c>
      <c r="C228" s="61"/>
      <c r="D228" s="1049">
        <f>'Previsión de negocio'!D197</f>
        <v>0</v>
      </c>
      <c r="E228" s="831">
        <f>'Previsión de negocio'!E197</f>
        <v>0</v>
      </c>
      <c r="F228" s="831">
        <f>'Previsión de negocio'!F197</f>
        <v>0</v>
      </c>
      <c r="G228" s="831">
        <f>'Previsión de negocio'!G197</f>
        <v>0</v>
      </c>
      <c r="H228" s="831">
        <f>'Previsión de negocio'!H197</f>
        <v>0</v>
      </c>
      <c r="I228" s="831">
        <f>'Previsión de negocio'!I197</f>
        <v>0</v>
      </c>
      <c r="J228" s="831">
        <f>'Previsión de negocio'!J197</f>
        <v>0</v>
      </c>
      <c r="K228" s="831">
        <f>'Previsión de negocio'!K197</f>
        <v>0</v>
      </c>
      <c r="L228" s="831">
        <f>'Previsión de negocio'!L197</f>
        <v>0</v>
      </c>
      <c r="M228" s="831">
        <f>'Previsión de negocio'!M197</f>
        <v>0</v>
      </c>
      <c r="N228" s="831">
        <f>'Previsión de negocio'!N197</f>
        <v>0</v>
      </c>
      <c r="O228" s="831">
        <f>'Previsión de negocio'!O197</f>
        <v>0</v>
      </c>
      <c r="P228" s="847">
        <f t="shared" si="64"/>
        <v>0</v>
      </c>
    </row>
    <row r="229" spans="2:17" x14ac:dyDescent="0.2">
      <c r="B229" s="947">
        <f t="shared" si="67"/>
        <v>0</v>
      </c>
      <c r="C229" s="61"/>
      <c r="D229" s="1049">
        <f>'Previsión de negocio'!D203</f>
        <v>0</v>
      </c>
      <c r="E229" s="831">
        <f>'Previsión de negocio'!E203</f>
        <v>0</v>
      </c>
      <c r="F229" s="831">
        <f>'Previsión de negocio'!F203</f>
        <v>0</v>
      </c>
      <c r="G229" s="831">
        <f>'Previsión de negocio'!G203</f>
        <v>0</v>
      </c>
      <c r="H229" s="831">
        <f>'Previsión de negocio'!H203</f>
        <v>0</v>
      </c>
      <c r="I229" s="831">
        <f>'Previsión de negocio'!I203</f>
        <v>0</v>
      </c>
      <c r="J229" s="831">
        <f>'Previsión de negocio'!J203</f>
        <v>0</v>
      </c>
      <c r="K229" s="831">
        <f>'Previsión de negocio'!K203</f>
        <v>0</v>
      </c>
      <c r="L229" s="831">
        <f>'Previsión de negocio'!L203</f>
        <v>0</v>
      </c>
      <c r="M229" s="831">
        <f>'Previsión de negocio'!M203</f>
        <v>0</v>
      </c>
      <c r="N229" s="831">
        <f>'Previsión de negocio'!N203</f>
        <v>0</v>
      </c>
      <c r="O229" s="831">
        <f>'Previsión de negocio'!O203</f>
        <v>0</v>
      </c>
      <c r="P229" s="847">
        <f t="shared" si="64"/>
        <v>0</v>
      </c>
    </row>
    <row r="230" spans="2:17" x14ac:dyDescent="0.2">
      <c r="B230" s="947">
        <f t="shared" si="67"/>
        <v>0</v>
      </c>
      <c r="C230" s="61"/>
      <c r="D230" s="1049">
        <f>'Previsión de negocio'!D209</f>
        <v>0</v>
      </c>
      <c r="E230" s="831">
        <f>'Previsión de negocio'!E209</f>
        <v>0</v>
      </c>
      <c r="F230" s="831">
        <f>'Previsión de negocio'!F209</f>
        <v>0</v>
      </c>
      <c r="G230" s="831">
        <f>'Previsión de negocio'!G209</f>
        <v>0</v>
      </c>
      <c r="H230" s="831">
        <f>'Previsión de negocio'!H209</f>
        <v>0</v>
      </c>
      <c r="I230" s="831">
        <f>'Previsión de negocio'!I209</f>
        <v>0</v>
      </c>
      <c r="J230" s="831">
        <f>'Previsión de negocio'!J209</f>
        <v>0</v>
      </c>
      <c r="K230" s="831">
        <f>'Previsión de negocio'!K209</f>
        <v>0</v>
      </c>
      <c r="L230" s="831">
        <f>'Previsión de negocio'!L209</f>
        <v>0</v>
      </c>
      <c r="M230" s="831">
        <f>'Previsión de negocio'!M209</f>
        <v>0</v>
      </c>
      <c r="N230" s="831">
        <f>'Previsión de negocio'!N209</f>
        <v>0</v>
      </c>
      <c r="O230" s="831">
        <f>'Previsión de negocio'!O209</f>
        <v>0</v>
      </c>
      <c r="P230" s="847">
        <f t="shared" si="64"/>
        <v>0</v>
      </c>
    </row>
    <row r="231" spans="2:17" x14ac:dyDescent="0.2">
      <c r="B231" s="947">
        <f t="shared" si="67"/>
        <v>0</v>
      </c>
      <c r="C231" s="61"/>
      <c r="D231" s="1049">
        <f>'Previsión de negocio'!D215</f>
        <v>0</v>
      </c>
      <c r="E231" s="831">
        <f>'Previsión de negocio'!E215</f>
        <v>0</v>
      </c>
      <c r="F231" s="831">
        <f>'Previsión de negocio'!F215</f>
        <v>0</v>
      </c>
      <c r="G231" s="831">
        <f>'Previsión de negocio'!G215</f>
        <v>0</v>
      </c>
      <c r="H231" s="831">
        <f>'Previsión de negocio'!H215</f>
        <v>0</v>
      </c>
      <c r="I231" s="831">
        <f>'Previsión de negocio'!I215</f>
        <v>0</v>
      </c>
      <c r="J231" s="831">
        <f>'Previsión de negocio'!J215</f>
        <v>0</v>
      </c>
      <c r="K231" s="831">
        <f>'Previsión de negocio'!K215</f>
        <v>0</v>
      </c>
      <c r="L231" s="831">
        <f>'Previsión de negocio'!L215</f>
        <v>0</v>
      </c>
      <c r="M231" s="831">
        <f>'Previsión de negocio'!M215</f>
        <v>0</v>
      </c>
      <c r="N231" s="831">
        <f>'Previsión de negocio'!N215</f>
        <v>0</v>
      </c>
      <c r="O231" s="831">
        <f>'Previsión de negocio'!O215</f>
        <v>0</v>
      </c>
      <c r="P231" s="847">
        <f t="shared" si="64"/>
        <v>0</v>
      </c>
    </row>
    <row r="232" spans="2:17" x14ac:dyDescent="0.2">
      <c r="B232" s="850" t="str">
        <f t="shared" si="67"/>
        <v>Total</v>
      </c>
      <c r="C232" s="61"/>
      <c r="D232" s="935">
        <f>SUM(D222:D231)</f>
        <v>0</v>
      </c>
      <c r="E232" s="295">
        <f t="shared" ref="E232:O232" si="68">SUM(E222:E231)</f>
        <v>0</v>
      </c>
      <c r="F232" s="295">
        <f t="shared" si="68"/>
        <v>0</v>
      </c>
      <c r="G232" s="295">
        <f t="shared" si="68"/>
        <v>0</v>
      </c>
      <c r="H232" s="295">
        <f t="shared" si="68"/>
        <v>0</v>
      </c>
      <c r="I232" s="295">
        <f t="shared" si="68"/>
        <v>0</v>
      </c>
      <c r="J232" s="295">
        <f t="shared" si="68"/>
        <v>0</v>
      </c>
      <c r="K232" s="295">
        <f t="shared" si="68"/>
        <v>0</v>
      </c>
      <c r="L232" s="295">
        <f t="shared" si="68"/>
        <v>0</v>
      </c>
      <c r="M232" s="295">
        <f t="shared" si="68"/>
        <v>0</v>
      </c>
      <c r="N232" s="295">
        <f t="shared" si="68"/>
        <v>0</v>
      </c>
      <c r="O232" s="639">
        <f t="shared" si="68"/>
        <v>0</v>
      </c>
      <c r="P232" s="457">
        <f t="shared" si="64"/>
        <v>0</v>
      </c>
      <c r="Q232" s="1"/>
    </row>
    <row r="233" spans="2:17" x14ac:dyDescent="0.2">
      <c r="B233" s="947" t="str">
        <f t="shared" si="67"/>
        <v>IVA</v>
      </c>
      <c r="C233" s="61"/>
      <c r="D233" s="500">
        <f>IF('Datos generales'!$D$22&lt;=0,'Datos generales'!$D$19*D232,0)</f>
        <v>0</v>
      </c>
      <c r="E233" s="500">
        <f>IF('Datos generales'!$D$22&lt;=0,'Datos generales'!$D$19*E232,0)</f>
        <v>0</v>
      </c>
      <c r="F233" s="500">
        <f>IF('Datos generales'!$D$22&lt;=0,'Datos generales'!$D$19*F232,0)</f>
        <v>0</v>
      </c>
      <c r="G233" s="500">
        <f>IF('Datos generales'!$D$22&lt;=0,'Datos generales'!$D$19*G232,0)</f>
        <v>0</v>
      </c>
      <c r="H233" s="500">
        <f>IF('Datos generales'!$D$22&lt;=0,'Datos generales'!$D$19*H232,0)</f>
        <v>0</v>
      </c>
      <c r="I233" s="500">
        <f>IF('Datos generales'!$D$22&lt;=0,'Datos generales'!$D$19*I232,0)</f>
        <v>0</v>
      </c>
      <c r="J233" s="500">
        <f>IF('Datos generales'!$D$22&lt;=0,'Datos generales'!$D$19*J232,0)</f>
        <v>0</v>
      </c>
      <c r="K233" s="500">
        <f>IF('Datos generales'!$D$22&lt;=0,'Datos generales'!$D$19*K232,0)</f>
        <v>0</v>
      </c>
      <c r="L233" s="500">
        <f>IF('Datos generales'!$D$22&lt;=0,'Datos generales'!$D$19*L232,0)</f>
        <v>0</v>
      </c>
      <c r="M233" s="500">
        <f>IF('Datos generales'!$D$22&lt;=0,'Datos generales'!$D$19*M232,0)</f>
        <v>0</v>
      </c>
      <c r="N233" s="500">
        <f>IF('Datos generales'!$D$22&lt;=0,'Datos generales'!$D$19*N232,0)</f>
        <v>0</v>
      </c>
      <c r="O233" s="500">
        <f>IF('Datos generales'!$D$22&lt;=0,'Datos generales'!$D$19*O232,0)</f>
        <v>0</v>
      </c>
      <c r="P233" s="457">
        <f t="shared" si="64"/>
        <v>0</v>
      </c>
    </row>
    <row r="234" spans="2:17" x14ac:dyDescent="0.2">
      <c r="B234" s="1464" t="s">
        <v>730</v>
      </c>
      <c r="C234" s="1465"/>
      <c r="D234" s="377">
        <f t="shared" ref="D234:O234" si="69">D232+D233</f>
        <v>0</v>
      </c>
      <c r="E234" s="201">
        <f t="shared" si="69"/>
        <v>0</v>
      </c>
      <c r="F234" s="201">
        <f t="shared" si="69"/>
        <v>0</v>
      </c>
      <c r="G234" s="201">
        <f t="shared" si="69"/>
        <v>0</v>
      </c>
      <c r="H234" s="201">
        <f t="shared" si="69"/>
        <v>0</v>
      </c>
      <c r="I234" s="201">
        <f t="shared" si="69"/>
        <v>0</v>
      </c>
      <c r="J234" s="201">
        <f t="shared" si="69"/>
        <v>0</v>
      </c>
      <c r="K234" s="201">
        <f t="shared" si="69"/>
        <v>0</v>
      </c>
      <c r="L234" s="201">
        <f t="shared" si="69"/>
        <v>0</v>
      </c>
      <c r="M234" s="201">
        <f t="shared" si="69"/>
        <v>0</v>
      </c>
      <c r="N234" s="201">
        <f t="shared" si="69"/>
        <v>0</v>
      </c>
      <c r="O234" s="348">
        <f t="shared" si="69"/>
        <v>0</v>
      </c>
      <c r="P234" s="371">
        <f t="shared" si="64"/>
        <v>0</v>
      </c>
    </row>
    <row r="235" spans="2:17" ht="28.5" customHeight="1" x14ac:dyDescent="0.2">
      <c r="B235" s="1462" t="s">
        <v>136</v>
      </c>
      <c r="C235" s="1463"/>
      <c r="D235" s="61"/>
      <c r="E235" s="61"/>
      <c r="F235" s="61"/>
      <c r="G235" s="61"/>
      <c r="H235" s="61"/>
      <c r="I235" s="61"/>
      <c r="J235" s="61"/>
      <c r="K235" s="61"/>
      <c r="L235" s="61"/>
      <c r="M235" s="61"/>
      <c r="N235" s="61"/>
      <c r="O235" s="849"/>
      <c r="P235" s="851"/>
    </row>
    <row r="236" spans="2:17" x14ac:dyDescent="0.2">
      <c r="B236" s="1121" t="str">
        <f t="shared" ref="B236:B244" si="70">B28</f>
        <v>Transporte</v>
      </c>
      <c r="C236" s="1122">
        <f>'Previsión de negocio'!F222</f>
        <v>0.05</v>
      </c>
      <c r="D236" s="846">
        <f>'Presupuesto de ventas'!D$112*$C236</f>
        <v>0</v>
      </c>
      <c r="E236" s="299">
        <f>'Presupuesto de ventas'!E$112*$C236</f>
        <v>0</v>
      </c>
      <c r="F236" s="299">
        <f>'Presupuesto de ventas'!F$112*$C236</f>
        <v>0</v>
      </c>
      <c r="G236" s="299">
        <f>'Presupuesto de ventas'!G$112*$C236</f>
        <v>0</v>
      </c>
      <c r="H236" s="299">
        <f>'Presupuesto de ventas'!H$112*$C236</f>
        <v>0</v>
      </c>
      <c r="I236" s="299">
        <f>'Presupuesto de ventas'!I$112*$C236</f>
        <v>0</v>
      </c>
      <c r="J236" s="299">
        <f>'Presupuesto de ventas'!J$112*$C236</f>
        <v>0</v>
      </c>
      <c r="K236" s="299">
        <f>'Presupuesto de ventas'!K$112*$C236</f>
        <v>0</v>
      </c>
      <c r="L236" s="299">
        <f>'Presupuesto de ventas'!L$112*$C236</f>
        <v>0</v>
      </c>
      <c r="M236" s="299">
        <f>'Presupuesto de ventas'!M$112*$C236</f>
        <v>0</v>
      </c>
      <c r="N236" s="299">
        <f>'Presupuesto de ventas'!N$112*$C236</f>
        <v>0</v>
      </c>
      <c r="O236" s="848">
        <f>'Presupuesto de ventas'!O$112*$C236</f>
        <v>0</v>
      </c>
      <c r="P236" s="847">
        <f t="shared" ref="P236:P244" si="71">SUM(D236:O236)</f>
        <v>0</v>
      </c>
    </row>
    <row r="237" spans="2:17" x14ac:dyDescent="0.2">
      <c r="B237" s="1121" t="str">
        <f t="shared" si="70"/>
        <v>Comisiones</v>
      </c>
      <c r="C237" s="1122">
        <f>'Previsión de negocio'!F223</f>
        <v>0</v>
      </c>
      <c r="D237" s="500">
        <f>'Presupuesto de ventas'!D$112*$C237</f>
        <v>0</v>
      </c>
      <c r="E237" s="289">
        <f>'Presupuesto de ventas'!E$112*$C237</f>
        <v>0</v>
      </c>
      <c r="F237" s="289">
        <f>'Presupuesto de ventas'!F$112*$C237</f>
        <v>0</v>
      </c>
      <c r="G237" s="289">
        <f>'Presupuesto de ventas'!G$112*$C237</f>
        <v>0</v>
      </c>
      <c r="H237" s="289">
        <f>'Presupuesto de ventas'!H$112*$C237</f>
        <v>0</v>
      </c>
      <c r="I237" s="289">
        <f>'Presupuesto de ventas'!I$112*$C237</f>
        <v>0</v>
      </c>
      <c r="J237" s="289">
        <f>'Presupuesto de ventas'!J$112*$C237</f>
        <v>0</v>
      </c>
      <c r="K237" s="289">
        <f>'Presupuesto de ventas'!K$112*$C237</f>
        <v>0</v>
      </c>
      <c r="L237" s="289">
        <f>'Presupuesto de ventas'!L$112*$C237</f>
        <v>0</v>
      </c>
      <c r="M237" s="289">
        <f>'Presupuesto de ventas'!M$112*$C237</f>
        <v>0</v>
      </c>
      <c r="N237" s="289">
        <f>'Presupuesto de ventas'!N$112*$C237</f>
        <v>0</v>
      </c>
      <c r="O237" s="501">
        <f>'Presupuesto de ventas'!O$112*$C237</f>
        <v>0</v>
      </c>
      <c r="P237" s="457">
        <f t="shared" si="71"/>
        <v>0</v>
      </c>
    </row>
    <row r="238" spans="2:17" x14ac:dyDescent="0.2">
      <c r="B238" s="1121" t="str">
        <f t="shared" si="70"/>
        <v>Embalajes</v>
      </c>
      <c r="C238" s="1122">
        <f>'Previsión de negocio'!F224</f>
        <v>0</v>
      </c>
      <c r="D238" s="500">
        <f>'Presupuesto de ventas'!D$112*$C238</f>
        <v>0</v>
      </c>
      <c r="E238" s="289">
        <f>'Presupuesto de ventas'!E$112*$C238</f>
        <v>0</v>
      </c>
      <c r="F238" s="289">
        <f>'Presupuesto de ventas'!F$112*$C238</f>
        <v>0</v>
      </c>
      <c r="G238" s="289">
        <f>'Presupuesto de ventas'!G$112*$C238</f>
        <v>0</v>
      </c>
      <c r="H238" s="289">
        <f>'Presupuesto de ventas'!H$112*$C238</f>
        <v>0</v>
      </c>
      <c r="I238" s="289">
        <f>'Presupuesto de ventas'!I$112*$C238</f>
        <v>0</v>
      </c>
      <c r="J238" s="289">
        <f>'Presupuesto de ventas'!J$112*$C238</f>
        <v>0</v>
      </c>
      <c r="K238" s="289">
        <f>'Presupuesto de ventas'!K$112*$C238</f>
        <v>0</v>
      </c>
      <c r="L238" s="289">
        <f>'Presupuesto de ventas'!L$112*$C238</f>
        <v>0</v>
      </c>
      <c r="M238" s="289">
        <f>'Presupuesto de ventas'!M$112*$C238</f>
        <v>0</v>
      </c>
      <c r="N238" s="289">
        <f>'Presupuesto de ventas'!N$112*$C238</f>
        <v>0</v>
      </c>
      <c r="O238" s="501">
        <f>'Presupuesto de ventas'!O$112*$C238</f>
        <v>0</v>
      </c>
      <c r="P238" s="457">
        <f t="shared" si="71"/>
        <v>0</v>
      </c>
    </row>
    <row r="239" spans="2:17" x14ac:dyDescent="0.2">
      <c r="B239" s="1121" t="str">
        <f t="shared" si="70"/>
        <v>Otros costes variables</v>
      </c>
      <c r="C239" s="1122">
        <f>'Previsión de negocio'!F225</f>
        <v>0</v>
      </c>
      <c r="D239" s="500">
        <f>'Presupuesto de ventas'!D$112*$C239</f>
        <v>0</v>
      </c>
      <c r="E239" s="289">
        <f>'Presupuesto de ventas'!E$112*$C239</f>
        <v>0</v>
      </c>
      <c r="F239" s="289">
        <f>'Presupuesto de ventas'!F$112*$C239</f>
        <v>0</v>
      </c>
      <c r="G239" s="289">
        <f>'Presupuesto de ventas'!G$112*$C239</f>
        <v>0</v>
      </c>
      <c r="H239" s="289">
        <f>'Presupuesto de ventas'!H$112*$C239</f>
        <v>0</v>
      </c>
      <c r="I239" s="289">
        <f>'Presupuesto de ventas'!I$112*$C239</f>
        <v>0</v>
      </c>
      <c r="J239" s="289">
        <f>'Presupuesto de ventas'!J$112*$C239</f>
        <v>0</v>
      </c>
      <c r="K239" s="289">
        <f>'Presupuesto de ventas'!K$112*$C239</f>
        <v>0</v>
      </c>
      <c r="L239" s="289">
        <f>'Presupuesto de ventas'!L$112*$C239</f>
        <v>0</v>
      </c>
      <c r="M239" s="289">
        <f>'Presupuesto de ventas'!M$112*$C239</f>
        <v>0</v>
      </c>
      <c r="N239" s="289">
        <f>'Presupuesto de ventas'!N$112*$C239</f>
        <v>0</v>
      </c>
      <c r="O239" s="501">
        <f>'Presupuesto de ventas'!O$112*$C239</f>
        <v>0</v>
      </c>
      <c r="P239" s="457">
        <f t="shared" si="71"/>
        <v>0</v>
      </c>
    </row>
    <row r="240" spans="2:17" x14ac:dyDescent="0.2">
      <c r="B240" s="1121">
        <f t="shared" si="70"/>
        <v>0</v>
      </c>
      <c r="C240" s="1122">
        <f>'Previsión de negocio'!F226</f>
        <v>0</v>
      </c>
      <c r="D240" s="500">
        <f>'Presupuesto de ventas'!D$112*$C240</f>
        <v>0</v>
      </c>
      <c r="E240" s="289">
        <f>'Presupuesto de ventas'!E$112*$C240</f>
        <v>0</v>
      </c>
      <c r="F240" s="289">
        <f>'Presupuesto de ventas'!F$112*$C240</f>
        <v>0</v>
      </c>
      <c r="G240" s="289">
        <f>'Presupuesto de ventas'!G$112*$C240</f>
        <v>0</v>
      </c>
      <c r="H240" s="289">
        <f>'Presupuesto de ventas'!H$112*$C240</f>
        <v>0</v>
      </c>
      <c r="I240" s="289">
        <f>'Presupuesto de ventas'!I$112*$C240</f>
        <v>0</v>
      </c>
      <c r="J240" s="289">
        <f>'Presupuesto de ventas'!J$112*$C240</f>
        <v>0</v>
      </c>
      <c r="K240" s="289">
        <f>'Presupuesto de ventas'!K$112*$C240</f>
        <v>0</v>
      </c>
      <c r="L240" s="289">
        <f>'Presupuesto de ventas'!L$112*$C240</f>
        <v>0</v>
      </c>
      <c r="M240" s="289">
        <f>'Presupuesto de ventas'!M$112*$C240</f>
        <v>0</v>
      </c>
      <c r="N240" s="289">
        <f>'Presupuesto de ventas'!N$112*$C240</f>
        <v>0</v>
      </c>
      <c r="O240" s="501">
        <f>'Presupuesto de ventas'!O$112*$C240</f>
        <v>0</v>
      </c>
      <c r="P240" s="457">
        <f t="shared" si="71"/>
        <v>0</v>
      </c>
    </row>
    <row r="241" spans="2:16" x14ac:dyDescent="0.2">
      <c r="B241" s="1121">
        <f t="shared" si="70"/>
        <v>0</v>
      </c>
      <c r="C241" s="1122">
        <f>'Previsión de negocio'!F227</f>
        <v>0</v>
      </c>
      <c r="D241" s="500">
        <f>'Presupuesto de ventas'!D$112*$C241</f>
        <v>0</v>
      </c>
      <c r="E241" s="289">
        <f>'Presupuesto de ventas'!E$112*$C241</f>
        <v>0</v>
      </c>
      <c r="F241" s="289">
        <f>'Presupuesto de ventas'!F$112*$C241</f>
        <v>0</v>
      </c>
      <c r="G241" s="289">
        <f>'Presupuesto de ventas'!G$112*$C241</f>
        <v>0</v>
      </c>
      <c r="H241" s="289">
        <f>'Presupuesto de ventas'!H$112*$C241</f>
        <v>0</v>
      </c>
      <c r="I241" s="289">
        <f>'Presupuesto de ventas'!I$112*$C241</f>
        <v>0</v>
      </c>
      <c r="J241" s="289">
        <f>'Presupuesto de ventas'!J$112*$C241</f>
        <v>0</v>
      </c>
      <c r="K241" s="289">
        <f>'Presupuesto de ventas'!K$112*$C241</f>
        <v>0</v>
      </c>
      <c r="L241" s="289">
        <f>'Presupuesto de ventas'!L$112*$C241</f>
        <v>0</v>
      </c>
      <c r="M241" s="289">
        <f>'Presupuesto de ventas'!M$112*$C241</f>
        <v>0</v>
      </c>
      <c r="N241" s="289">
        <f>'Presupuesto de ventas'!N$112*$C241</f>
        <v>0</v>
      </c>
      <c r="O241" s="501">
        <f>'Presupuesto de ventas'!O$112*$C241</f>
        <v>0</v>
      </c>
      <c r="P241" s="457">
        <f t="shared" si="71"/>
        <v>0</v>
      </c>
    </row>
    <row r="242" spans="2:16" s="1" customFormat="1" x14ac:dyDescent="0.2">
      <c r="B242" s="1123" t="str">
        <f t="shared" si="70"/>
        <v>Total</v>
      </c>
      <c r="C242" s="1124"/>
      <c r="D242" s="935">
        <f>SUM(D236:D241)</f>
        <v>0</v>
      </c>
      <c r="E242" s="295">
        <f t="shared" ref="E242:O242" si="72">SUM(E236:E241)</f>
        <v>0</v>
      </c>
      <c r="F242" s="295">
        <f t="shared" si="72"/>
        <v>0</v>
      </c>
      <c r="G242" s="295">
        <f t="shared" si="72"/>
        <v>0</v>
      </c>
      <c r="H242" s="295">
        <f t="shared" si="72"/>
        <v>0</v>
      </c>
      <c r="I242" s="295">
        <f t="shared" si="72"/>
        <v>0</v>
      </c>
      <c r="J242" s="295">
        <f t="shared" si="72"/>
        <v>0</v>
      </c>
      <c r="K242" s="295">
        <f t="shared" si="72"/>
        <v>0</v>
      </c>
      <c r="L242" s="295">
        <f t="shared" si="72"/>
        <v>0</v>
      </c>
      <c r="M242" s="295">
        <f t="shared" si="72"/>
        <v>0</v>
      </c>
      <c r="N242" s="295">
        <f t="shared" si="72"/>
        <v>0</v>
      </c>
      <c r="O242" s="639">
        <f t="shared" si="72"/>
        <v>0</v>
      </c>
      <c r="P242" s="457">
        <f t="shared" si="71"/>
        <v>0</v>
      </c>
    </row>
    <row r="243" spans="2:16" x14ac:dyDescent="0.2">
      <c r="B243" s="956" t="str">
        <f t="shared" si="70"/>
        <v>IVA</v>
      </c>
      <c r="C243" s="1125"/>
      <c r="D243" s="500">
        <f>IF('Datos generales'!$D$22&lt;=0,'Datos generales'!$D$19*D242,0)</f>
        <v>0</v>
      </c>
      <c r="E243" s="289">
        <f>IF('Datos generales'!$D$22&lt;=0,'Datos generales'!$D$19*E242,0)</f>
        <v>0</v>
      </c>
      <c r="F243" s="289">
        <f>IF('Datos generales'!$D$22&lt;=0,'Datos generales'!$D$19*F242,0)</f>
        <v>0</v>
      </c>
      <c r="G243" s="289">
        <f>IF('Datos generales'!$D$22&lt;=0,'Datos generales'!$D$19*G242,0)</f>
        <v>0</v>
      </c>
      <c r="H243" s="289">
        <f>IF('Datos generales'!$D$22&lt;=0,'Datos generales'!$D$19*H242,0)</f>
        <v>0</v>
      </c>
      <c r="I243" s="289">
        <f>IF('Datos generales'!$D$22&lt;=0,'Datos generales'!$D$19*I242,0)</f>
        <v>0</v>
      </c>
      <c r="J243" s="289">
        <f>IF('Datos generales'!$D$22&lt;=0,'Datos generales'!$D$19*J242,0)</f>
        <v>0</v>
      </c>
      <c r="K243" s="289">
        <f>IF('Datos generales'!$D$22&lt;=0,'Datos generales'!$D$19*K242,0)</f>
        <v>0</v>
      </c>
      <c r="L243" s="289">
        <f>IF('Datos generales'!$D$22&lt;=0,'Datos generales'!$D$19*L242,0)</f>
        <v>0</v>
      </c>
      <c r="M243" s="289">
        <f>IF('Datos generales'!$D$22&lt;=0,'Datos generales'!$D$19*M242,0)</f>
        <v>0</v>
      </c>
      <c r="N243" s="289">
        <f>IF('Datos generales'!$D$22&lt;=0,'Datos generales'!$D$19*N242,0)</f>
        <v>0</v>
      </c>
      <c r="O243" s="289">
        <f>IF('Datos generales'!$D$22&lt;=0,'Datos generales'!$D$19*O242,0)</f>
        <v>0</v>
      </c>
      <c r="P243" s="457">
        <f t="shared" si="71"/>
        <v>0</v>
      </c>
    </row>
    <row r="244" spans="2:16" x14ac:dyDescent="0.2">
      <c r="B244" s="435" t="str">
        <f t="shared" si="70"/>
        <v>Total costes variables s/ ventas:</v>
      </c>
      <c r="C244" s="436"/>
      <c r="D244" s="377">
        <f t="shared" ref="D244:O244" si="73">D242+D243</f>
        <v>0</v>
      </c>
      <c r="E244" s="201">
        <f t="shared" si="73"/>
        <v>0</v>
      </c>
      <c r="F244" s="201">
        <f t="shared" si="73"/>
        <v>0</v>
      </c>
      <c r="G244" s="201">
        <f t="shared" si="73"/>
        <v>0</v>
      </c>
      <c r="H244" s="201">
        <f t="shared" si="73"/>
        <v>0</v>
      </c>
      <c r="I244" s="201">
        <f t="shared" si="73"/>
        <v>0</v>
      </c>
      <c r="J244" s="201">
        <f t="shared" si="73"/>
        <v>0</v>
      </c>
      <c r="K244" s="201">
        <f t="shared" si="73"/>
        <v>0</v>
      </c>
      <c r="L244" s="201">
        <f t="shared" si="73"/>
        <v>0</v>
      </c>
      <c r="M244" s="201">
        <f t="shared" si="73"/>
        <v>0</v>
      </c>
      <c r="N244" s="201">
        <f t="shared" si="73"/>
        <v>0</v>
      </c>
      <c r="O244" s="348">
        <f t="shared" si="73"/>
        <v>0</v>
      </c>
      <c r="P244" s="371">
        <f t="shared" si="71"/>
        <v>0</v>
      </c>
    </row>
    <row r="245" spans="2:16" ht="7.5" customHeight="1" thickBot="1" x14ac:dyDescent="0.25">
      <c r="B245" s="425"/>
      <c r="C245" s="426"/>
      <c r="D245" s="61"/>
      <c r="E245" s="61"/>
      <c r="F245" s="61"/>
      <c r="G245" s="61"/>
      <c r="H245" s="61"/>
      <c r="I245" s="61"/>
      <c r="J245" s="61"/>
      <c r="K245" s="61"/>
      <c r="L245" s="61"/>
      <c r="M245" s="61"/>
      <c r="N245" s="61"/>
      <c r="O245" s="61"/>
      <c r="P245" s="61"/>
    </row>
    <row r="246" spans="2:16" ht="16.5" thickBot="1" x14ac:dyDescent="0.3">
      <c r="B246" s="439" t="str">
        <f>B38</f>
        <v>Total costes variables:</v>
      </c>
      <c r="C246" s="440"/>
      <c r="D246" s="455">
        <f>+D220+D234+D244</f>
        <v>0</v>
      </c>
      <c r="E246" s="455">
        <f t="shared" ref="E246:P246" si="74">+E220+E234+E244</f>
        <v>0</v>
      </c>
      <c r="F246" s="455">
        <f t="shared" si="74"/>
        <v>0</v>
      </c>
      <c r="G246" s="455">
        <f t="shared" si="74"/>
        <v>0</v>
      </c>
      <c r="H246" s="455">
        <f t="shared" si="74"/>
        <v>0</v>
      </c>
      <c r="I246" s="455">
        <f t="shared" si="74"/>
        <v>0</v>
      </c>
      <c r="J246" s="455">
        <f t="shared" si="74"/>
        <v>0</v>
      </c>
      <c r="K246" s="455">
        <f t="shared" si="74"/>
        <v>0</v>
      </c>
      <c r="L246" s="455">
        <f t="shared" si="74"/>
        <v>0</v>
      </c>
      <c r="M246" s="455">
        <f t="shared" si="74"/>
        <v>0</v>
      </c>
      <c r="N246" s="455">
        <f t="shared" si="74"/>
        <v>0</v>
      </c>
      <c r="O246" s="455">
        <f t="shared" si="74"/>
        <v>0</v>
      </c>
      <c r="P246" s="977">
        <f t="shared" si="74"/>
        <v>0</v>
      </c>
    </row>
    <row r="249" spans="2:16" s="954" customFormat="1" hidden="1" x14ac:dyDescent="0.2">
      <c r="B249" s="616" t="str">
        <f>B190</f>
        <v>Compras de existencias</v>
      </c>
      <c r="C249" s="1283" t="s">
        <v>296</v>
      </c>
      <c r="D249" s="1283" t="s">
        <v>297</v>
      </c>
      <c r="E249" s="1283" t="s">
        <v>298</v>
      </c>
      <c r="F249" s="1283" t="s">
        <v>120</v>
      </c>
      <c r="G249" s="1283" t="s">
        <v>121</v>
      </c>
      <c r="H249" s="1283" t="s">
        <v>122</v>
      </c>
      <c r="I249" s="1283" t="s">
        <v>123</v>
      </c>
      <c r="J249" s="1283" t="s">
        <v>299</v>
      </c>
      <c r="K249" s="1283" t="s">
        <v>300</v>
      </c>
      <c r="L249" s="1283" t="s">
        <v>301</v>
      </c>
      <c r="M249" s="1283" t="s">
        <v>302</v>
      </c>
      <c r="N249" s="1283" t="s">
        <v>303</v>
      </c>
      <c r="O249" s="1284">
        <f>'Datos generales'!$P$10+2</f>
        <v>2022</v>
      </c>
      <c r="P249" s="616" t="s">
        <v>728</v>
      </c>
    </row>
    <row r="250" spans="2:16" s="954" customFormat="1" hidden="1" x14ac:dyDescent="0.2">
      <c r="B250" s="616" t="str">
        <f t="shared" ref="B250:B260" si="75">B191</f>
        <v>Producto o servicio 1</v>
      </c>
      <c r="C250" s="616">
        <f>IF('Previsión de negocio'!$V234=E$1,'Previsión de negocio'!$F234,0)</f>
        <v>0</v>
      </c>
      <c r="D250" s="616">
        <f>IF('Previsión de negocio'!$V234=F$1,'Previsión de negocio'!$F234,0)</f>
        <v>0</v>
      </c>
      <c r="E250" s="616">
        <f>IF('Previsión de negocio'!$V234=G$1,'Previsión de negocio'!$F234,0)</f>
        <v>0</v>
      </c>
      <c r="F250" s="616">
        <f>IF('Previsión de negocio'!$V234=H$1,'Previsión de negocio'!$F234,0)</f>
        <v>0</v>
      </c>
      <c r="G250" s="616">
        <f>IF('Previsión de negocio'!$V234=I$1,'Previsión de negocio'!$F234,0)</f>
        <v>0</v>
      </c>
      <c r="H250" s="616">
        <f>IF('Previsión de negocio'!$V234=J$1,'Previsión de negocio'!$F234,0)</f>
        <v>0</v>
      </c>
      <c r="I250" s="616">
        <f>IF('Previsión de negocio'!$V234=K$1,'Previsión de negocio'!$F234,0)</f>
        <v>0</v>
      </c>
      <c r="J250" s="616">
        <f>IF('Previsión de negocio'!$V234=L$1,'Previsión de negocio'!$F234,0)</f>
        <v>0</v>
      </c>
      <c r="K250" s="616">
        <f>IF('Previsión de negocio'!$V234=M$1,'Previsión de negocio'!$F234,0)</f>
        <v>0</v>
      </c>
      <c r="L250" s="616">
        <f>IF('Previsión de negocio'!$V234=N$1,'Previsión de negocio'!$F234,0)</f>
        <v>0</v>
      </c>
      <c r="M250" s="616">
        <f>IF('Previsión de negocio'!$V234=O$1,'Previsión de negocio'!$F234,0)</f>
        <v>0</v>
      </c>
      <c r="N250" s="616">
        <f>IF('Previsión de negocio'!$V234=P$1,'Previsión de negocio'!$F234,0)</f>
        <v>0</v>
      </c>
      <c r="O250" s="1047">
        <f t="shared" ref="O250:O259" si="76">SUM(C250:N250)</f>
        <v>0</v>
      </c>
      <c r="P250" s="616">
        <f>IF(P191+O250=0,0,IF('Previsión de negocio'!D234=1,'Previsión de negocio'!E234,'Previsión de negocio'!D234*'Previsión de negocio'!O160))</f>
        <v>0</v>
      </c>
    </row>
    <row r="251" spans="2:16" s="954" customFormat="1" hidden="1" x14ac:dyDescent="0.2">
      <c r="B251" s="616" t="str">
        <f t="shared" si="75"/>
        <v>Producto o servicio 2</v>
      </c>
      <c r="C251" s="616">
        <f>IF('Previsión de negocio'!$V235=E$1,'Previsión de negocio'!$F235,0)</f>
        <v>0</v>
      </c>
      <c r="D251" s="616">
        <f>IF('Previsión de negocio'!$V235=F$1,'Previsión de negocio'!$F235,0)</f>
        <v>0</v>
      </c>
      <c r="E251" s="616">
        <f>IF('Previsión de negocio'!$V235=G$1,'Previsión de negocio'!$F235,0)</f>
        <v>0</v>
      </c>
      <c r="F251" s="616">
        <f>IF('Previsión de negocio'!$V235=H$1,'Previsión de negocio'!$F235,0)</f>
        <v>0</v>
      </c>
      <c r="G251" s="616">
        <f>IF('Previsión de negocio'!$V235=I$1,'Previsión de negocio'!$F235,0)</f>
        <v>0</v>
      </c>
      <c r="H251" s="616">
        <f>IF('Previsión de negocio'!$V235=J$1,'Previsión de negocio'!$F235,0)</f>
        <v>0</v>
      </c>
      <c r="I251" s="616">
        <f>IF('Previsión de negocio'!$V235=K$1,'Previsión de negocio'!$F235,0)</f>
        <v>0</v>
      </c>
      <c r="J251" s="616">
        <f>IF('Previsión de negocio'!$V235=L$1,'Previsión de negocio'!$F235,0)</f>
        <v>0</v>
      </c>
      <c r="K251" s="616">
        <f>IF('Previsión de negocio'!$V235=M$1,'Previsión de negocio'!$F235,0)</f>
        <v>0</v>
      </c>
      <c r="L251" s="616">
        <f>IF('Previsión de negocio'!$V235=N$1,'Previsión de negocio'!$F235,0)</f>
        <v>0</v>
      </c>
      <c r="M251" s="616">
        <f>IF('Previsión de negocio'!$V235=O$1,'Previsión de negocio'!$F235,0)</f>
        <v>0</v>
      </c>
      <c r="N251" s="616">
        <f>IF('Previsión de negocio'!$V235=P$1,'Previsión de negocio'!$F235,0)</f>
        <v>0</v>
      </c>
      <c r="O251" s="1047">
        <f t="shared" si="76"/>
        <v>0</v>
      </c>
      <c r="P251" s="616">
        <f>IF(P192+O251=0,0,IF('Previsión de negocio'!D235=1,'Previsión de negocio'!E235,'Previsión de negocio'!D235*'Previsión de negocio'!O166))</f>
        <v>0</v>
      </c>
    </row>
    <row r="252" spans="2:16" s="954" customFormat="1" hidden="1" x14ac:dyDescent="0.2">
      <c r="B252" s="616" t="str">
        <f t="shared" si="75"/>
        <v>Producto o servicio 3</v>
      </c>
      <c r="C252" s="616">
        <f>IF('Previsión de negocio'!$V236=E$1,'Previsión de negocio'!$F236,0)</f>
        <v>0</v>
      </c>
      <c r="D252" s="616">
        <f>IF('Previsión de negocio'!$V236=F$1,'Previsión de negocio'!$F236,0)</f>
        <v>0</v>
      </c>
      <c r="E252" s="616">
        <f>IF('Previsión de negocio'!$V236=G$1,'Previsión de negocio'!$F236,0)</f>
        <v>0</v>
      </c>
      <c r="F252" s="616">
        <f>IF('Previsión de negocio'!$V236=H$1,'Previsión de negocio'!$F236,0)</f>
        <v>0</v>
      </c>
      <c r="G252" s="616">
        <f>IF('Previsión de negocio'!$V236=I$1,'Previsión de negocio'!$F236,0)</f>
        <v>0</v>
      </c>
      <c r="H252" s="616">
        <f>IF('Previsión de negocio'!$V236=J$1,'Previsión de negocio'!$F236,0)</f>
        <v>0</v>
      </c>
      <c r="I252" s="616">
        <f>IF('Previsión de negocio'!$V236=K$1,'Previsión de negocio'!$F236,0)</f>
        <v>0</v>
      </c>
      <c r="J252" s="616">
        <f>IF('Previsión de negocio'!$V236=L$1,'Previsión de negocio'!$F236,0)</f>
        <v>0</v>
      </c>
      <c r="K252" s="616">
        <f>IF('Previsión de negocio'!$V236=M$1,'Previsión de negocio'!$F236,0)</f>
        <v>0</v>
      </c>
      <c r="L252" s="616">
        <f>IF('Previsión de negocio'!$V236=N$1,'Previsión de negocio'!$F236,0)</f>
        <v>0</v>
      </c>
      <c r="M252" s="616">
        <f>IF('Previsión de negocio'!$V236=O$1,'Previsión de negocio'!$F236,0)</f>
        <v>0</v>
      </c>
      <c r="N252" s="616">
        <f>IF('Previsión de negocio'!$V236=P$1,'Previsión de negocio'!$F236,0)</f>
        <v>0</v>
      </c>
      <c r="O252" s="1047">
        <f t="shared" si="76"/>
        <v>0</v>
      </c>
      <c r="P252" s="616">
        <f>IF(P193+O252=0,0,IF('Previsión de negocio'!D236=1,'Previsión de negocio'!E236,'Previsión de negocio'!D236*'Previsión de negocio'!O172))</f>
        <v>0</v>
      </c>
    </row>
    <row r="253" spans="2:16" s="954" customFormat="1" hidden="1" x14ac:dyDescent="0.2">
      <c r="B253" s="616">
        <f t="shared" si="75"/>
        <v>0</v>
      </c>
      <c r="C253" s="616">
        <f>IF('Previsión de negocio'!$V237=E$1,'Previsión de negocio'!$F237,0)</f>
        <v>0</v>
      </c>
      <c r="D253" s="616">
        <f>IF('Previsión de negocio'!$V237=F$1,'Previsión de negocio'!$F237,0)</f>
        <v>0</v>
      </c>
      <c r="E253" s="616">
        <f>IF('Previsión de negocio'!$V237=G$1,'Previsión de negocio'!$F237,0)</f>
        <v>0</v>
      </c>
      <c r="F253" s="616">
        <f>IF('Previsión de negocio'!$V237=H$1,'Previsión de negocio'!$F237,0)</f>
        <v>0</v>
      </c>
      <c r="G253" s="616">
        <f>IF('Previsión de negocio'!$V237=I$1,'Previsión de negocio'!$F237,0)</f>
        <v>0</v>
      </c>
      <c r="H253" s="616">
        <f>IF('Previsión de negocio'!$V237=J$1,'Previsión de negocio'!$F237,0)</f>
        <v>0</v>
      </c>
      <c r="I253" s="616">
        <f>IF('Previsión de negocio'!$V237=K$1,'Previsión de negocio'!$F237,0)</f>
        <v>0</v>
      </c>
      <c r="J253" s="616">
        <f>IF('Previsión de negocio'!$V237=L$1,'Previsión de negocio'!$F237,0)</f>
        <v>0</v>
      </c>
      <c r="K253" s="616">
        <f>IF('Previsión de negocio'!$V237=M$1,'Previsión de negocio'!$F237,0)</f>
        <v>0</v>
      </c>
      <c r="L253" s="616">
        <f>IF('Previsión de negocio'!$V237=N$1,'Previsión de negocio'!$F237,0)</f>
        <v>0</v>
      </c>
      <c r="M253" s="616">
        <f>IF('Previsión de negocio'!$V237=O$1,'Previsión de negocio'!$F237,0)</f>
        <v>0</v>
      </c>
      <c r="N253" s="616">
        <f>IF('Previsión de negocio'!$V237=P$1,'Previsión de negocio'!$F237,0)</f>
        <v>0</v>
      </c>
      <c r="O253" s="1047">
        <f t="shared" si="76"/>
        <v>0</v>
      </c>
      <c r="P253" s="616">
        <f>IF(P194+O253=0,0,IF('Previsión de negocio'!D237=1,'Previsión de negocio'!E237,'Previsión de negocio'!D237*'Previsión de negocio'!O178))</f>
        <v>0</v>
      </c>
    </row>
    <row r="254" spans="2:16" s="954" customFormat="1" hidden="1" x14ac:dyDescent="0.2">
      <c r="B254" s="616">
        <f t="shared" si="75"/>
        <v>0</v>
      </c>
      <c r="C254" s="616">
        <f>IF('Previsión de negocio'!$V238=E$1,'Previsión de negocio'!$F238,0)</f>
        <v>0</v>
      </c>
      <c r="D254" s="616">
        <f>IF('Previsión de negocio'!$V238=F$1,'Previsión de negocio'!$F238,0)</f>
        <v>0</v>
      </c>
      <c r="E254" s="616">
        <f>IF('Previsión de negocio'!$V238=G$1,'Previsión de negocio'!$F238,0)</f>
        <v>0</v>
      </c>
      <c r="F254" s="616">
        <f>IF('Previsión de negocio'!$V238=H$1,'Previsión de negocio'!$F238,0)</f>
        <v>0</v>
      </c>
      <c r="G254" s="616">
        <f>IF('Previsión de negocio'!$V238=I$1,'Previsión de negocio'!$F238,0)</f>
        <v>0</v>
      </c>
      <c r="H254" s="616">
        <f>IF('Previsión de negocio'!$V238=J$1,'Previsión de negocio'!$F238,0)</f>
        <v>0</v>
      </c>
      <c r="I254" s="616">
        <f>IF('Previsión de negocio'!$V238=K$1,'Previsión de negocio'!$F238,0)</f>
        <v>0</v>
      </c>
      <c r="J254" s="616">
        <f>IF('Previsión de negocio'!$V238=L$1,'Previsión de negocio'!$F238,0)</f>
        <v>0</v>
      </c>
      <c r="K254" s="616">
        <f>IF('Previsión de negocio'!$V238=M$1,'Previsión de negocio'!$F238,0)</f>
        <v>0</v>
      </c>
      <c r="L254" s="616">
        <f>IF('Previsión de negocio'!$V238=N$1,'Previsión de negocio'!$F238,0)</f>
        <v>0</v>
      </c>
      <c r="M254" s="616">
        <f>IF('Previsión de negocio'!$V238=O$1,'Previsión de negocio'!$F238,0)</f>
        <v>0</v>
      </c>
      <c r="N254" s="616">
        <f>IF('Previsión de negocio'!$V238=P$1,'Previsión de negocio'!$F238,0)</f>
        <v>0</v>
      </c>
      <c r="O254" s="1047">
        <f t="shared" si="76"/>
        <v>0</v>
      </c>
      <c r="P254" s="616">
        <f>IF(P195+O254=0,0,IF('Previsión de negocio'!D238=1,'Previsión de negocio'!E238,'Previsión de negocio'!D238*'Previsión de negocio'!O184))</f>
        <v>0</v>
      </c>
    </row>
    <row r="255" spans="2:16" s="954" customFormat="1" hidden="1" x14ac:dyDescent="0.2">
      <c r="B255" s="616">
        <f t="shared" si="75"/>
        <v>0</v>
      </c>
      <c r="C255" s="616">
        <f>IF('Previsión de negocio'!$V239=E$1,'Previsión de negocio'!$F239,0)</f>
        <v>0</v>
      </c>
      <c r="D255" s="616">
        <f>IF('Previsión de negocio'!$V239=F$1,'Previsión de negocio'!$F239,0)</f>
        <v>0</v>
      </c>
      <c r="E255" s="616">
        <f>IF('Previsión de negocio'!$V239=G$1,'Previsión de negocio'!$F239,0)</f>
        <v>0</v>
      </c>
      <c r="F255" s="616">
        <f>IF('Previsión de negocio'!$V239=H$1,'Previsión de negocio'!$F239,0)</f>
        <v>0</v>
      </c>
      <c r="G255" s="616">
        <f>IF('Previsión de negocio'!$V239=I$1,'Previsión de negocio'!$F239,0)</f>
        <v>0</v>
      </c>
      <c r="H255" s="616">
        <f>IF('Previsión de negocio'!$V239=J$1,'Previsión de negocio'!$F239,0)</f>
        <v>0</v>
      </c>
      <c r="I255" s="616">
        <f>IF('Previsión de negocio'!$V239=K$1,'Previsión de negocio'!$F239,0)</f>
        <v>0</v>
      </c>
      <c r="J255" s="616">
        <f>IF('Previsión de negocio'!$V239=L$1,'Previsión de negocio'!$F239,0)</f>
        <v>0</v>
      </c>
      <c r="K255" s="616">
        <f>IF('Previsión de negocio'!$V239=M$1,'Previsión de negocio'!$F239,0)</f>
        <v>0</v>
      </c>
      <c r="L255" s="616">
        <f>IF('Previsión de negocio'!$V239=N$1,'Previsión de negocio'!$F239,0)</f>
        <v>0</v>
      </c>
      <c r="M255" s="616">
        <f>IF('Previsión de negocio'!$V239=O$1,'Previsión de negocio'!$F239,0)</f>
        <v>0</v>
      </c>
      <c r="N255" s="616">
        <f>IF('Previsión de negocio'!$V239=P$1,'Previsión de negocio'!$F239,0)</f>
        <v>0</v>
      </c>
      <c r="O255" s="1047">
        <f t="shared" si="76"/>
        <v>0</v>
      </c>
      <c r="P255" s="616">
        <f>IF(P196+O255=0,0,IF('Previsión de negocio'!D239=1,'Previsión de negocio'!E239,'Previsión de negocio'!D239*'Previsión de negocio'!O190))</f>
        <v>0</v>
      </c>
    </row>
    <row r="256" spans="2:16" s="954" customFormat="1" hidden="1" x14ac:dyDescent="0.2">
      <c r="B256" s="616">
        <f t="shared" si="75"/>
        <v>0</v>
      </c>
      <c r="C256" s="616">
        <f>IF('Previsión de negocio'!$V240=E$1,'Previsión de negocio'!$F240,0)</f>
        <v>0</v>
      </c>
      <c r="D256" s="616">
        <f>IF('Previsión de negocio'!$V240=F$1,'Previsión de negocio'!$F240,0)</f>
        <v>0</v>
      </c>
      <c r="E256" s="616">
        <f>IF('Previsión de negocio'!$V240=G$1,'Previsión de negocio'!$F240,0)</f>
        <v>0</v>
      </c>
      <c r="F256" s="616">
        <f>IF('Previsión de negocio'!$V240=H$1,'Previsión de negocio'!$F240,0)</f>
        <v>0</v>
      </c>
      <c r="G256" s="616">
        <f>IF('Previsión de negocio'!$V240=I$1,'Previsión de negocio'!$F240,0)</f>
        <v>0</v>
      </c>
      <c r="H256" s="616">
        <f>IF('Previsión de negocio'!$V240=J$1,'Previsión de negocio'!$F240,0)</f>
        <v>0</v>
      </c>
      <c r="I256" s="616">
        <f>IF('Previsión de negocio'!$V240=K$1,'Previsión de negocio'!$F240,0)</f>
        <v>0</v>
      </c>
      <c r="J256" s="616">
        <f>IF('Previsión de negocio'!$V240=L$1,'Previsión de negocio'!$F240,0)</f>
        <v>0</v>
      </c>
      <c r="K256" s="616">
        <f>IF('Previsión de negocio'!$V240=M$1,'Previsión de negocio'!$F240,0)</f>
        <v>0</v>
      </c>
      <c r="L256" s="616">
        <f>IF('Previsión de negocio'!$V240=N$1,'Previsión de negocio'!$F240,0)</f>
        <v>0</v>
      </c>
      <c r="M256" s="616">
        <f>IF('Previsión de negocio'!$V240=O$1,'Previsión de negocio'!$F240,0)</f>
        <v>0</v>
      </c>
      <c r="N256" s="616">
        <f>IF('Previsión de negocio'!$V240=P$1,'Previsión de negocio'!$F240,0)</f>
        <v>0</v>
      </c>
      <c r="O256" s="1047">
        <f t="shared" si="76"/>
        <v>0</v>
      </c>
      <c r="P256" s="616">
        <f>IF(P197+O256=0,0,IF('Previsión de negocio'!D240=1,'Previsión de negocio'!E240,'Previsión de negocio'!D240*'Previsión de negocio'!O196))</f>
        <v>0</v>
      </c>
    </row>
    <row r="257" spans="2:18" s="954" customFormat="1" hidden="1" x14ac:dyDescent="0.2">
      <c r="B257" s="616">
        <f t="shared" si="75"/>
        <v>0</v>
      </c>
      <c r="C257" s="616">
        <f>IF('Previsión de negocio'!$V241=E$1,'Previsión de negocio'!$F241,0)</f>
        <v>0</v>
      </c>
      <c r="D257" s="616">
        <f>IF('Previsión de negocio'!$V241=F$1,'Previsión de negocio'!$F241,0)</f>
        <v>0</v>
      </c>
      <c r="E257" s="616">
        <f>IF('Previsión de negocio'!$V241=G$1,'Previsión de negocio'!$F241,0)</f>
        <v>0</v>
      </c>
      <c r="F257" s="616">
        <f>IF('Previsión de negocio'!$V241=H$1,'Previsión de negocio'!$F241,0)</f>
        <v>0</v>
      </c>
      <c r="G257" s="616">
        <f>IF('Previsión de negocio'!$V241=I$1,'Previsión de negocio'!$F241,0)</f>
        <v>0</v>
      </c>
      <c r="H257" s="616">
        <f>IF('Previsión de negocio'!$V241=J$1,'Previsión de negocio'!$F241,0)</f>
        <v>0</v>
      </c>
      <c r="I257" s="616">
        <f>IF('Previsión de negocio'!$V241=K$1,'Previsión de negocio'!$F241,0)</f>
        <v>0</v>
      </c>
      <c r="J257" s="616">
        <f>IF('Previsión de negocio'!$V241=L$1,'Previsión de negocio'!$F241,0)</f>
        <v>0</v>
      </c>
      <c r="K257" s="616">
        <f>IF('Previsión de negocio'!$V241=M$1,'Previsión de negocio'!$F241,0)</f>
        <v>0</v>
      </c>
      <c r="L257" s="616">
        <f>IF('Previsión de negocio'!$V241=N$1,'Previsión de negocio'!$F241,0)</f>
        <v>0</v>
      </c>
      <c r="M257" s="616">
        <f>IF('Previsión de negocio'!$V241=O$1,'Previsión de negocio'!$F241,0)</f>
        <v>0</v>
      </c>
      <c r="N257" s="616">
        <f>IF('Previsión de negocio'!$V241=P$1,'Previsión de negocio'!$F241,0)</f>
        <v>0</v>
      </c>
      <c r="O257" s="1047">
        <f t="shared" si="76"/>
        <v>0</v>
      </c>
      <c r="P257" s="616">
        <f>IF(P198+O257=0,0,IF('Previsión de negocio'!D241=1,'Previsión de negocio'!E241,'Previsión de negocio'!D241*'Previsión de negocio'!O202))</f>
        <v>0</v>
      </c>
      <c r="Q257" s="616"/>
      <c r="R257" s="616"/>
    </row>
    <row r="258" spans="2:18" s="954" customFormat="1" hidden="1" x14ac:dyDescent="0.2">
      <c r="B258" s="616">
        <f t="shared" si="75"/>
        <v>0</v>
      </c>
      <c r="C258" s="616">
        <f>IF('Previsión de negocio'!$V242=E$1,'Previsión de negocio'!$F242,0)</f>
        <v>0</v>
      </c>
      <c r="D258" s="616">
        <f>IF('Previsión de negocio'!$V242=F$1,'Previsión de negocio'!$F242,0)</f>
        <v>0</v>
      </c>
      <c r="E258" s="616">
        <f>IF('Previsión de negocio'!$V242=G$1,'Previsión de negocio'!$F242,0)</f>
        <v>0</v>
      </c>
      <c r="F258" s="616">
        <f>IF('Previsión de negocio'!$V242=H$1,'Previsión de negocio'!$F242,0)</f>
        <v>0</v>
      </c>
      <c r="G258" s="616">
        <f>IF('Previsión de negocio'!$V242=I$1,'Previsión de negocio'!$F242,0)</f>
        <v>0</v>
      </c>
      <c r="H258" s="616">
        <f>IF('Previsión de negocio'!$V242=J$1,'Previsión de negocio'!$F242,0)</f>
        <v>0</v>
      </c>
      <c r="I258" s="616">
        <f>IF('Previsión de negocio'!$V242=K$1,'Previsión de negocio'!$F242,0)</f>
        <v>0</v>
      </c>
      <c r="J258" s="616">
        <f>IF('Previsión de negocio'!$V242=L$1,'Previsión de negocio'!$F242,0)</f>
        <v>0</v>
      </c>
      <c r="K258" s="616">
        <f>IF('Previsión de negocio'!$V242=M$1,'Previsión de negocio'!$F242,0)</f>
        <v>0</v>
      </c>
      <c r="L258" s="616">
        <f>IF('Previsión de negocio'!$V242=N$1,'Previsión de negocio'!$F242,0)</f>
        <v>0</v>
      </c>
      <c r="M258" s="616">
        <f>IF('Previsión de negocio'!$V242=O$1,'Previsión de negocio'!$F242,0)</f>
        <v>0</v>
      </c>
      <c r="N258" s="616">
        <f>IF('Previsión de negocio'!$V242=P$1,'Previsión de negocio'!$F242,0)</f>
        <v>0</v>
      </c>
      <c r="O258" s="1047">
        <f t="shared" si="76"/>
        <v>0</v>
      </c>
      <c r="P258" s="616">
        <f>IF(P199+O258=0,0,IF('Previsión de negocio'!D242=1,'Previsión de negocio'!E242,'Previsión de negocio'!D242*'Previsión de negocio'!O208))</f>
        <v>0</v>
      </c>
      <c r="Q258" s="616"/>
      <c r="R258" s="616"/>
    </row>
    <row r="259" spans="2:18" s="954" customFormat="1" hidden="1" x14ac:dyDescent="0.2">
      <c r="B259" s="616">
        <f t="shared" si="75"/>
        <v>0</v>
      </c>
      <c r="C259" s="616">
        <f>IF('Previsión de negocio'!$V243=E$1,'Previsión de negocio'!$F243,0)</f>
        <v>0</v>
      </c>
      <c r="D259" s="616">
        <f>IF('Previsión de negocio'!$V243=F$1,'Previsión de negocio'!$F243,0)</f>
        <v>0</v>
      </c>
      <c r="E259" s="616">
        <f>IF('Previsión de negocio'!$V243=G$1,'Previsión de negocio'!$F243,0)</f>
        <v>0</v>
      </c>
      <c r="F259" s="616">
        <f>IF('Previsión de negocio'!$V243=H$1,'Previsión de negocio'!$F243,0)</f>
        <v>0</v>
      </c>
      <c r="G259" s="616">
        <f>IF('Previsión de negocio'!$V243=I$1,'Previsión de negocio'!$F243,0)</f>
        <v>0</v>
      </c>
      <c r="H259" s="616">
        <f>IF('Previsión de negocio'!$V243=J$1,'Previsión de negocio'!$F243,0)</f>
        <v>0</v>
      </c>
      <c r="I259" s="616">
        <f>IF('Previsión de negocio'!$V243=K$1,'Previsión de negocio'!$F243,0)</f>
        <v>0</v>
      </c>
      <c r="J259" s="616">
        <f>IF('Previsión de negocio'!$V243=L$1,'Previsión de negocio'!$F243,0)</f>
        <v>0</v>
      </c>
      <c r="K259" s="616">
        <f>IF('Previsión de negocio'!$V243=M$1,'Previsión de negocio'!$F243,0)</f>
        <v>0</v>
      </c>
      <c r="L259" s="616">
        <f>IF('Previsión de negocio'!$V243=N$1,'Previsión de negocio'!$F243,0)</f>
        <v>0</v>
      </c>
      <c r="M259" s="616">
        <f>IF('Previsión de negocio'!$V243=O$1,'Previsión de negocio'!$F243,0)</f>
        <v>0</v>
      </c>
      <c r="N259" s="616">
        <f>IF('Previsión de negocio'!$V243=P$1,'Previsión de negocio'!$F243,0)</f>
        <v>0</v>
      </c>
      <c r="O259" s="1047">
        <f t="shared" si="76"/>
        <v>0</v>
      </c>
      <c r="P259" s="616">
        <f>IF(P200+O259=0,0,IF('Previsión de negocio'!D243=1,'Previsión de negocio'!E243,'Previsión de negocio'!D243*'Previsión de negocio'!O214))</f>
        <v>0</v>
      </c>
      <c r="Q259" s="616"/>
      <c r="R259" s="616"/>
    </row>
    <row r="260" spans="2:18" s="954" customFormat="1" hidden="1" x14ac:dyDescent="0.2">
      <c r="B260" s="616" t="str">
        <f t="shared" si="75"/>
        <v>Total</v>
      </c>
      <c r="C260" s="616">
        <f>SUM(C250:C259)</f>
        <v>0</v>
      </c>
      <c r="D260" s="616">
        <f t="shared" ref="D260:P260" si="77">SUM(D250:D259)</f>
        <v>0</v>
      </c>
      <c r="E260" s="616">
        <f t="shared" si="77"/>
        <v>0</v>
      </c>
      <c r="F260" s="616">
        <f t="shared" si="77"/>
        <v>0</v>
      </c>
      <c r="G260" s="616">
        <f t="shared" si="77"/>
        <v>0</v>
      </c>
      <c r="H260" s="616">
        <f t="shared" si="77"/>
        <v>0</v>
      </c>
      <c r="I260" s="616">
        <f t="shared" si="77"/>
        <v>0</v>
      </c>
      <c r="J260" s="616">
        <f t="shared" si="77"/>
        <v>0</v>
      </c>
      <c r="K260" s="616">
        <f t="shared" si="77"/>
        <v>0</v>
      </c>
      <c r="L260" s="616">
        <f t="shared" si="77"/>
        <v>0</v>
      </c>
      <c r="M260" s="616">
        <f t="shared" si="77"/>
        <v>0</v>
      </c>
      <c r="N260" s="616">
        <f t="shared" si="77"/>
        <v>0</v>
      </c>
      <c r="O260" s="616">
        <f t="shared" si="77"/>
        <v>0</v>
      </c>
      <c r="P260" s="616">
        <f t="shared" si="77"/>
        <v>0</v>
      </c>
      <c r="Q260" s="616"/>
      <c r="R260" s="616"/>
    </row>
    <row r="261" spans="2:18" hidden="1" x14ac:dyDescent="0.2">
      <c r="B261" s="616" t="s">
        <v>729</v>
      </c>
      <c r="C261" s="1018">
        <f>IF('Datos generales'!$D$22&lt;=0,'Datos generales'!$D$16*C260+C260,0)</f>
        <v>0</v>
      </c>
      <c r="D261" s="1018">
        <f>IF('Datos generales'!$D$22&lt;=0,'Datos generales'!$D$16*D260+D260,0)</f>
        <v>0</v>
      </c>
      <c r="E261" s="1018">
        <f>IF('Datos generales'!$D$22&lt;=0,'Datos generales'!$D$16*E260+E260,0)</f>
        <v>0</v>
      </c>
      <c r="F261" s="1018">
        <f>IF('Datos generales'!$D$22&lt;=0,'Datos generales'!$D$16*F260+F260,0)</f>
        <v>0</v>
      </c>
      <c r="G261" s="1018">
        <f>IF('Datos generales'!$D$22&lt;=0,'Datos generales'!$D$16*G260+G260,0)</f>
        <v>0</v>
      </c>
      <c r="H261" s="1018">
        <f>IF('Datos generales'!$D$22&lt;=0,'Datos generales'!$D$16*H260+H260,0)</f>
        <v>0</v>
      </c>
      <c r="I261" s="1018">
        <f>IF('Datos generales'!$D$22&lt;=0,'Datos generales'!$D$16*I260+I260,0)</f>
        <v>0</v>
      </c>
      <c r="J261" s="1018">
        <f>IF('Datos generales'!$D$22&lt;=0,'Datos generales'!$D$16*J260+J260,0)</f>
        <v>0</v>
      </c>
      <c r="K261" s="1018">
        <f>IF('Datos generales'!$D$22&lt;=0,'Datos generales'!$D$16*K260+K260,0)</f>
        <v>0</v>
      </c>
      <c r="L261" s="1018">
        <f>IF('Datos generales'!$D$22&lt;=0,'Datos generales'!$D$16*L260+L260,0)</f>
        <v>0</v>
      </c>
      <c r="M261" s="1018">
        <f>IF('Datos generales'!$D$22&lt;=0,'Datos generales'!$D$16*M260+M260,0)</f>
        <v>0</v>
      </c>
      <c r="N261" s="1018">
        <f>IF('Datos generales'!$D$22&lt;=0,'Datos generales'!$D$16*N260+N260,0)</f>
        <v>0</v>
      </c>
      <c r="O261" s="1018">
        <f>IF('Datos generales'!$D$22&lt;=0,'Datos generales'!$D$16*O260+O260,0)</f>
        <v>0</v>
      </c>
      <c r="P261" s="1018">
        <f>IF('Datos generales'!$D$22&lt;=0,'Datos generales'!$D$16*P260+P260,0)</f>
        <v>0</v>
      </c>
      <c r="Q261" s="616"/>
      <c r="R261" s="616"/>
    </row>
    <row r="262" spans="2:18" hidden="1" x14ac:dyDescent="0.2"/>
  </sheetData>
  <sheetProtection password="CC4B" sheet="1"/>
  <mergeCells count="16">
    <mergeCell ref="T11:V11"/>
    <mergeCell ref="B118:C118"/>
    <mergeCell ref="B6:G6"/>
    <mergeCell ref="C11:E11"/>
    <mergeCell ref="B91:C91"/>
    <mergeCell ref="B105:C105"/>
    <mergeCell ref="B4:H4"/>
    <mergeCell ref="B119:C119"/>
    <mergeCell ref="B149:C149"/>
    <mergeCell ref="B235:C235"/>
    <mergeCell ref="B234:C234"/>
    <mergeCell ref="B163:C163"/>
    <mergeCell ref="B176:C176"/>
    <mergeCell ref="B221:C221"/>
    <mergeCell ref="B177:C177"/>
    <mergeCell ref="B207:C207"/>
  </mergeCells>
  <phoneticPr fontId="0" type="noConversion"/>
  <printOptions horizontalCentered="1" verticalCentered="1"/>
  <pageMargins left="0.75" right="0.75" top="1" bottom="1" header="0" footer="0"/>
  <pageSetup paperSize="9" orientation="landscape" horizontalDpi="300" verticalDpi="300"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2">
    <tabColor theme="6" tint="0.39997558519241921"/>
    <pageSetUpPr fitToPage="1"/>
  </sheetPr>
  <dimension ref="A1:AP182"/>
  <sheetViews>
    <sheetView showGridLines="0" topLeftCell="A152" zoomScale="85" zoomScaleNormal="85" workbookViewId="0">
      <selection activeCell="I205" sqref="I205"/>
    </sheetView>
  </sheetViews>
  <sheetFormatPr baseColWidth="10" defaultColWidth="9.140625" defaultRowHeight="12.75" x14ac:dyDescent="0.2"/>
  <cols>
    <col min="1" max="1" width="11.42578125" customWidth="1"/>
    <col min="2" max="2" width="19.85546875" customWidth="1"/>
    <col min="3" max="3" width="6" customWidth="1"/>
    <col min="4" max="4" width="9.7109375" customWidth="1"/>
    <col min="5" max="5" width="12.42578125" customWidth="1"/>
    <col min="6" max="6" width="13.140625" customWidth="1"/>
    <col min="7" max="17" width="12.140625" customWidth="1"/>
    <col min="18" max="18" width="16.28515625" customWidth="1"/>
    <col min="19" max="19" width="17" customWidth="1"/>
    <col min="20" max="256" width="11.42578125" customWidth="1"/>
  </cols>
  <sheetData>
    <row r="1" spans="1:18" s="702" customFormat="1" ht="12" hidden="1" thickBot="1" x14ac:dyDescent="0.25">
      <c r="C1" s="702">
        <f>MONTH('Datos generales'!N10)</f>
        <v>1</v>
      </c>
      <c r="D1" s="703">
        <v>0</v>
      </c>
      <c r="E1" s="703">
        <v>1</v>
      </c>
      <c r="F1" s="703">
        <v>2</v>
      </c>
      <c r="G1" s="703">
        <v>3</v>
      </c>
      <c r="H1" s="703">
        <v>4</v>
      </c>
      <c r="I1" s="703">
        <v>5</v>
      </c>
      <c r="J1" s="703">
        <v>6</v>
      </c>
      <c r="K1" s="703">
        <v>7</v>
      </c>
      <c r="L1" s="703">
        <v>8</v>
      </c>
      <c r="M1" s="703">
        <v>9</v>
      </c>
      <c r="N1" s="703">
        <v>10</v>
      </c>
      <c r="O1" s="703">
        <v>11</v>
      </c>
      <c r="P1" s="702">
        <v>12</v>
      </c>
    </row>
    <row r="3" spans="1:18" ht="14.25" customHeight="1" x14ac:dyDescent="0.2"/>
    <row r="4" spans="1:18" ht="20.25" x14ac:dyDescent="0.3">
      <c r="B4" s="1360" t="str">
        <f>'Datos generales'!C6</f>
        <v>Nombre de la empresa</v>
      </c>
      <c r="C4" s="1360"/>
      <c r="D4" s="1360"/>
      <c r="E4" s="1360"/>
      <c r="F4" s="1360"/>
      <c r="G4" s="1360"/>
    </row>
    <row r="5" spans="1:18" ht="20.25" x14ac:dyDescent="0.3">
      <c r="E5" s="107"/>
      <c r="F5" s="107"/>
      <c r="G5" s="107"/>
    </row>
    <row r="6" spans="1:18" x14ac:dyDescent="0.2">
      <c r="A6" s="41"/>
      <c r="B6" s="41"/>
      <c r="C6" s="41"/>
      <c r="D6" s="41"/>
      <c r="E6" s="41"/>
      <c r="F6" s="41"/>
      <c r="G6" s="41"/>
      <c r="H6" s="41"/>
      <c r="I6" s="41"/>
      <c r="J6" s="41"/>
      <c r="K6" s="41"/>
      <c r="L6" s="41"/>
      <c r="M6" s="41"/>
      <c r="N6" s="41"/>
      <c r="O6" s="41"/>
      <c r="P6" s="41"/>
      <c r="Q6" s="41"/>
    </row>
    <row r="7" spans="1:18" ht="18" x14ac:dyDescent="0.25">
      <c r="B7" s="244" t="s">
        <v>731</v>
      </c>
      <c r="C7" s="244"/>
      <c r="D7" s="4"/>
      <c r="E7" s="4"/>
      <c r="F7" s="4"/>
      <c r="G7" s="4"/>
      <c r="H7" s="4"/>
      <c r="J7" s="4"/>
      <c r="N7" s="4"/>
      <c r="O7" s="4"/>
      <c r="P7" s="4"/>
      <c r="Q7" s="4"/>
      <c r="R7" s="4"/>
    </row>
    <row r="8" spans="1:18" x14ac:dyDescent="0.2">
      <c r="B8" s="5"/>
      <c r="C8" s="5"/>
      <c r="D8" s="4"/>
      <c r="E8" s="4"/>
      <c r="F8" s="4"/>
      <c r="G8" s="4"/>
      <c r="H8" s="4"/>
      <c r="I8" s="4"/>
      <c r="J8" s="4"/>
      <c r="K8" s="6"/>
      <c r="L8" s="4"/>
      <c r="M8" s="4"/>
      <c r="N8" s="4"/>
      <c r="O8" s="4"/>
      <c r="P8" s="4"/>
      <c r="Q8" s="4"/>
      <c r="R8" s="4"/>
    </row>
    <row r="9" spans="1:18" x14ac:dyDescent="0.2">
      <c r="B9" s="5"/>
      <c r="C9" s="5"/>
      <c r="D9" s="4"/>
      <c r="E9" s="4"/>
      <c r="F9" s="4"/>
      <c r="G9" s="4"/>
      <c r="H9" s="4"/>
      <c r="I9" s="4"/>
      <c r="J9" s="4"/>
      <c r="K9" s="6"/>
      <c r="L9" s="4"/>
      <c r="M9" s="4"/>
      <c r="N9" s="4"/>
      <c r="O9" s="4"/>
      <c r="P9" s="4"/>
      <c r="Q9" s="4"/>
      <c r="R9" s="4"/>
    </row>
    <row r="10" spans="1:18" ht="15.75" x14ac:dyDescent="0.25">
      <c r="B10" s="138" t="s">
        <v>732</v>
      </c>
      <c r="C10" s="138"/>
      <c r="D10" s="4"/>
      <c r="E10" s="138" t="s">
        <v>693</v>
      </c>
      <c r="F10" s="4"/>
      <c r="G10" s="4"/>
      <c r="H10" s="4"/>
      <c r="Q10" s="4"/>
    </row>
    <row r="11" spans="1:18" ht="15.75" x14ac:dyDescent="0.25">
      <c r="B11" s="138"/>
      <c r="C11" s="138"/>
      <c r="D11" s="4"/>
      <c r="E11" s="138"/>
      <c r="F11" s="4"/>
      <c r="G11" s="4"/>
      <c r="H11" s="4"/>
      <c r="Q11" s="4"/>
    </row>
    <row r="12" spans="1:18" ht="16.5" thickBot="1" x14ac:dyDescent="0.3">
      <c r="B12" s="4"/>
      <c r="C12" s="4"/>
      <c r="D12" s="4"/>
      <c r="E12" s="481" t="s">
        <v>373</v>
      </c>
      <c r="F12" s="482" t="s">
        <v>374</v>
      </c>
      <c r="G12" s="481" t="s">
        <v>375</v>
      </c>
      <c r="H12" s="483"/>
    </row>
    <row r="13" spans="1:18" ht="17.25" customHeight="1" thickBot="1" x14ac:dyDescent="0.3">
      <c r="B13" s="468" t="s">
        <v>733</v>
      </c>
      <c r="C13" s="469"/>
      <c r="D13" s="469"/>
      <c r="E13" s="470">
        <f>Q53</f>
        <v>0</v>
      </c>
      <c r="F13" s="470">
        <f>Q73</f>
        <v>0</v>
      </c>
      <c r="G13" s="471">
        <f>Q93</f>
        <v>0</v>
      </c>
    </row>
    <row r="14" spans="1:18" ht="19.5" customHeight="1" x14ac:dyDescent="0.2">
      <c r="B14" s="464" t="s">
        <v>734</v>
      </c>
      <c r="C14" s="464"/>
      <c r="D14" s="480" t="s">
        <v>158</v>
      </c>
      <c r="E14" s="42"/>
      <c r="F14" s="275"/>
      <c r="G14" s="61"/>
    </row>
    <row r="15" spans="1:18" x14ac:dyDescent="0.2">
      <c r="B15" s="432" t="s">
        <v>735</v>
      </c>
      <c r="C15" s="432"/>
      <c r="D15" s="465">
        <f>'Previsión de negocio'!E253</f>
        <v>0.25</v>
      </c>
      <c r="E15" s="290">
        <f t="shared" ref="E15:E23" ca="1" si="0">Q57</f>
        <v>0</v>
      </c>
      <c r="F15" s="290">
        <f t="shared" ref="F15:F23" ca="1" si="1">Q77</f>
        <v>0</v>
      </c>
      <c r="G15" s="290">
        <f t="shared" ref="G15:G23" si="2">Q97</f>
        <v>0</v>
      </c>
    </row>
    <row r="16" spans="1:18" x14ac:dyDescent="0.2">
      <c r="B16" s="156" t="s">
        <v>736</v>
      </c>
      <c r="C16" s="432">
        <f>'Previsión de negocio'!D255</f>
        <v>1</v>
      </c>
      <c r="D16" s="465">
        <f>'Previsión de negocio'!E255</f>
        <v>0.25</v>
      </c>
      <c r="E16" s="295">
        <f t="shared" ca="1" si="0"/>
        <v>0</v>
      </c>
      <c r="F16" s="295">
        <f t="shared" ca="1" si="1"/>
        <v>0</v>
      </c>
      <c r="G16" s="295">
        <f t="shared" ca="1" si="2"/>
        <v>0</v>
      </c>
    </row>
    <row r="17" spans="2:18" x14ac:dyDescent="0.2">
      <c r="B17" s="156" t="s">
        <v>736</v>
      </c>
      <c r="C17" s="432">
        <f>'Previsión de negocio'!D256</f>
        <v>2</v>
      </c>
      <c r="D17" s="465">
        <f>'Previsión de negocio'!E256</f>
        <v>0.25</v>
      </c>
      <c r="E17" s="295">
        <f t="shared" ca="1" si="0"/>
        <v>0</v>
      </c>
      <c r="F17" s="295">
        <f t="shared" ca="1" si="1"/>
        <v>0</v>
      </c>
      <c r="G17" s="295">
        <f t="shared" ca="1" si="2"/>
        <v>0</v>
      </c>
    </row>
    <row r="18" spans="2:18" x14ac:dyDescent="0.2">
      <c r="B18" s="156" t="s">
        <v>736</v>
      </c>
      <c r="C18" s="432">
        <f>'Previsión de negocio'!D257</f>
        <v>3</v>
      </c>
      <c r="D18" s="465">
        <f>'Previsión de negocio'!E257</f>
        <v>0.25</v>
      </c>
      <c r="E18" s="295">
        <f t="shared" ca="1" si="0"/>
        <v>0</v>
      </c>
      <c r="F18" s="295">
        <f t="shared" ca="1" si="1"/>
        <v>0</v>
      </c>
      <c r="G18" s="295">
        <f t="shared" ca="1" si="2"/>
        <v>0</v>
      </c>
    </row>
    <row r="19" spans="2:18" x14ac:dyDescent="0.2">
      <c r="B19" s="156" t="s">
        <v>736</v>
      </c>
      <c r="C19" s="432">
        <f>'Previsión de negocio'!D258</f>
        <v>0</v>
      </c>
      <c r="D19" s="465">
        <f>'Previsión de negocio'!E258</f>
        <v>0</v>
      </c>
      <c r="E19" s="295">
        <f t="shared" ca="1" si="0"/>
        <v>0</v>
      </c>
      <c r="F19" s="295">
        <f t="shared" ca="1" si="1"/>
        <v>0</v>
      </c>
      <c r="G19" s="295">
        <f t="shared" ca="1" si="2"/>
        <v>0</v>
      </c>
    </row>
    <row r="20" spans="2:18" x14ac:dyDescent="0.2">
      <c r="B20" s="156" t="s">
        <v>736</v>
      </c>
      <c r="C20" s="432">
        <f>'Previsión de negocio'!D259</f>
        <v>0</v>
      </c>
      <c r="D20" s="465">
        <f>'Previsión de negocio'!E259</f>
        <v>0</v>
      </c>
      <c r="E20" s="295">
        <f t="shared" ca="1" si="0"/>
        <v>0</v>
      </c>
      <c r="F20" s="295">
        <f t="shared" ca="1" si="1"/>
        <v>0</v>
      </c>
      <c r="G20" s="295">
        <f t="shared" ca="1" si="2"/>
        <v>0</v>
      </c>
    </row>
    <row r="21" spans="2:18" x14ac:dyDescent="0.2">
      <c r="B21" s="156" t="s">
        <v>736</v>
      </c>
      <c r="C21" s="432">
        <f>'Previsión de negocio'!D260</f>
        <v>0</v>
      </c>
      <c r="D21" s="465">
        <f>'Previsión de negocio'!E260</f>
        <v>0</v>
      </c>
      <c r="E21" s="295">
        <f t="shared" ca="1" si="0"/>
        <v>0</v>
      </c>
      <c r="F21" s="295">
        <f t="shared" ca="1" si="1"/>
        <v>0</v>
      </c>
      <c r="G21" s="295">
        <f t="shared" ca="1" si="2"/>
        <v>0</v>
      </c>
    </row>
    <row r="22" spans="2:18" x14ac:dyDescent="0.2">
      <c r="B22" s="160" t="s">
        <v>736</v>
      </c>
      <c r="C22" s="466">
        <f>'Previsión de negocio'!D261</f>
        <v>0</v>
      </c>
      <c r="D22" s="467">
        <f>'Previsión de negocio'!E261</f>
        <v>0</v>
      </c>
      <c r="E22" s="305">
        <f t="shared" ca="1" si="0"/>
        <v>0</v>
      </c>
      <c r="F22" s="305">
        <f t="shared" ca="1" si="1"/>
        <v>0</v>
      </c>
      <c r="G22" s="305">
        <f t="shared" ca="1" si="2"/>
        <v>0</v>
      </c>
    </row>
    <row r="23" spans="2:18" ht="15.75" x14ac:dyDescent="0.25">
      <c r="B23" s="475" t="s">
        <v>737</v>
      </c>
      <c r="C23" s="476"/>
      <c r="D23" s="477">
        <f>'Previsión de negocio'!E262</f>
        <v>1</v>
      </c>
      <c r="E23" s="478">
        <f t="shared" ca="1" si="0"/>
        <v>0</v>
      </c>
      <c r="F23" s="478">
        <f t="shared" ca="1" si="1"/>
        <v>0</v>
      </c>
      <c r="G23" s="353">
        <f t="shared" ca="1" si="2"/>
        <v>0</v>
      </c>
    </row>
    <row r="24" spans="2:18" ht="13.5" thickBot="1" x14ac:dyDescent="0.25">
      <c r="B24" s="41"/>
      <c r="C24" s="41"/>
      <c r="D24" s="68"/>
      <c r="E24" s="41"/>
      <c r="F24" s="1"/>
      <c r="G24" s="1"/>
      <c r="H24" s="41"/>
      <c r="I24" s="41"/>
    </row>
    <row r="25" spans="2:18" ht="16.5" thickBot="1" x14ac:dyDescent="0.3">
      <c r="B25" s="462" t="s">
        <v>738</v>
      </c>
      <c r="C25" s="472"/>
      <c r="D25" s="473"/>
      <c r="E25" s="474">
        <f ca="1">P67</f>
        <v>0</v>
      </c>
      <c r="F25" s="474">
        <f ca="1">P87</f>
        <v>0</v>
      </c>
      <c r="G25" s="463">
        <f ca="1">P107</f>
        <v>0</v>
      </c>
      <c r="H25" s="41"/>
      <c r="I25" s="41"/>
    </row>
    <row r="26" spans="2:18" ht="15.75" x14ac:dyDescent="0.25">
      <c r="B26" s="41"/>
      <c r="C26" s="41"/>
      <c r="D26" s="41"/>
      <c r="E26" s="41"/>
      <c r="F26" s="41"/>
      <c r="G26" s="41"/>
      <c r="H26" s="41"/>
      <c r="I26" s="41"/>
      <c r="Q26" s="69"/>
      <c r="R26" s="4"/>
    </row>
    <row r="27" spans="2:18" ht="15.75" x14ac:dyDescent="0.25">
      <c r="B27" s="41"/>
      <c r="C27" s="41"/>
      <c r="D27" s="41"/>
      <c r="E27" s="41"/>
      <c r="F27" s="41"/>
      <c r="G27" s="41"/>
      <c r="H27" s="41"/>
      <c r="I27" s="41"/>
      <c r="Q27" s="69"/>
      <c r="R27" s="4"/>
    </row>
    <row r="28" spans="2:18" ht="15.75" x14ac:dyDescent="0.25">
      <c r="B28" s="138" t="str">
        <f>B113</f>
        <v>Pagos por Compras</v>
      </c>
      <c r="C28" s="4"/>
      <c r="D28" s="4"/>
      <c r="E28" s="4"/>
      <c r="F28" s="138" t="s">
        <v>693</v>
      </c>
      <c r="G28" s="4"/>
      <c r="H28" s="4"/>
      <c r="I28" s="41"/>
      <c r="J28" s="2"/>
      <c r="K28" s="2"/>
      <c r="L28" s="2"/>
      <c r="M28" s="2"/>
      <c r="N28" s="69"/>
      <c r="O28" s="69"/>
      <c r="P28" s="69"/>
      <c r="Q28" s="69"/>
      <c r="R28" s="4"/>
    </row>
    <row r="29" spans="2:18" ht="15.75" x14ac:dyDescent="0.25">
      <c r="B29" s="4"/>
      <c r="C29" s="4"/>
      <c r="D29" s="4"/>
      <c r="E29" s="4"/>
      <c r="F29" s="4"/>
      <c r="G29" s="4"/>
      <c r="H29" s="4"/>
      <c r="I29" s="41"/>
      <c r="J29" s="2"/>
      <c r="K29" s="2"/>
      <c r="L29" s="2"/>
      <c r="M29" s="2"/>
      <c r="N29" s="69"/>
      <c r="O29" s="69"/>
      <c r="P29" s="69"/>
      <c r="Q29" s="69"/>
      <c r="R29" s="4"/>
    </row>
    <row r="30" spans="2:18" ht="16.5" thickBot="1" x14ac:dyDescent="0.3">
      <c r="B30" s="4"/>
      <c r="C30" s="4"/>
      <c r="D30" s="4"/>
      <c r="E30" s="481" t="s">
        <v>373</v>
      </c>
      <c r="F30" s="482" t="s">
        <v>374</v>
      </c>
      <c r="G30" s="481" t="s">
        <v>375</v>
      </c>
      <c r="I30" s="41"/>
      <c r="J30" s="2"/>
      <c r="K30" s="2"/>
      <c r="L30" s="2"/>
      <c r="M30" s="2"/>
      <c r="N30" s="69"/>
      <c r="O30" s="69"/>
      <c r="P30" s="69"/>
      <c r="Q30" s="69"/>
      <c r="R30" s="4"/>
    </row>
    <row r="31" spans="2:18" ht="16.5" thickBot="1" x14ac:dyDescent="0.3">
      <c r="B31" s="468" t="str">
        <f>B116</f>
        <v>Compras del periodo</v>
      </c>
      <c r="C31" s="469"/>
      <c r="D31" s="469"/>
      <c r="E31" s="470">
        <f>Q116</f>
        <v>0</v>
      </c>
      <c r="F31" s="470">
        <f>Q137</f>
        <v>0</v>
      </c>
      <c r="G31" s="471">
        <f>Q158</f>
        <v>0</v>
      </c>
      <c r="I31" s="41"/>
      <c r="J31" s="2"/>
      <c r="K31" s="2"/>
      <c r="L31" s="2"/>
      <c r="M31" s="2"/>
      <c r="N31" s="69"/>
      <c r="O31" s="69"/>
      <c r="P31" s="69"/>
      <c r="Q31" s="69"/>
      <c r="R31" s="4"/>
    </row>
    <row r="32" spans="2:18" ht="22.5" customHeight="1" x14ac:dyDescent="0.25">
      <c r="B32" s="464" t="str">
        <f t="shared" ref="B32:B40" si="3">B119</f>
        <v>Plazos de pago</v>
      </c>
      <c r="C32" s="464"/>
      <c r="D32" s="480" t="str">
        <f>D119</f>
        <v>% / Total</v>
      </c>
      <c r="E32" s="61"/>
      <c r="F32" s="61"/>
      <c r="G32" s="61"/>
      <c r="I32" s="41"/>
      <c r="J32" s="2"/>
      <c r="K32" s="2"/>
      <c r="L32" s="2"/>
      <c r="M32" s="2"/>
      <c r="N32" s="69"/>
      <c r="O32" s="69"/>
      <c r="P32" s="69"/>
      <c r="Q32" s="69"/>
      <c r="R32" s="4"/>
    </row>
    <row r="33" spans="2:18" ht="15.75" x14ac:dyDescent="0.25">
      <c r="B33" s="150" t="str">
        <f t="shared" si="3"/>
        <v>Contado</v>
      </c>
      <c r="C33" s="150"/>
      <c r="D33" s="486">
        <f>'Previsión de negocio'!E265</f>
        <v>0.25</v>
      </c>
      <c r="E33" s="290">
        <f t="shared" ref="E33:E41" si="4">Q120</f>
        <v>0</v>
      </c>
      <c r="F33" s="290">
        <f t="shared" ref="F33:F42" si="5">Q141</f>
        <v>0</v>
      </c>
      <c r="G33" s="290">
        <f t="shared" ref="G33:G42" si="6">Q162</f>
        <v>0</v>
      </c>
      <c r="I33" s="41"/>
      <c r="J33" s="2"/>
      <c r="K33" s="2"/>
      <c r="L33" s="2"/>
      <c r="M33" s="2"/>
      <c r="N33" s="69"/>
      <c r="O33" s="69"/>
      <c r="P33" s="69"/>
      <c r="Q33" s="69"/>
    </row>
    <row r="34" spans="2:18" ht="15.75" x14ac:dyDescent="0.25">
      <c r="B34" s="156" t="str">
        <f t="shared" si="3"/>
        <v>Aplazado meses:</v>
      </c>
      <c r="C34" s="156">
        <f>'Previsión de negocio'!D267</f>
        <v>1</v>
      </c>
      <c r="D34" s="487">
        <f>'Previsión de negocio'!E267</f>
        <v>0.25</v>
      </c>
      <c r="E34" s="295">
        <f t="shared" ca="1" si="4"/>
        <v>0</v>
      </c>
      <c r="F34" s="295">
        <f t="shared" ca="1" si="5"/>
        <v>0</v>
      </c>
      <c r="G34" s="295">
        <f t="shared" ca="1" si="6"/>
        <v>0</v>
      </c>
      <c r="I34" s="41"/>
      <c r="J34" s="2"/>
      <c r="K34" s="2"/>
      <c r="L34" s="2"/>
      <c r="M34" s="2"/>
      <c r="N34" s="69"/>
      <c r="O34" s="69"/>
      <c r="P34" s="69"/>
      <c r="Q34" s="69"/>
    </row>
    <row r="35" spans="2:18" ht="15.75" x14ac:dyDescent="0.25">
      <c r="B35" s="156" t="str">
        <f t="shared" si="3"/>
        <v>Aplazado meses:</v>
      </c>
      <c r="C35" s="156">
        <f>'Previsión de negocio'!D268</f>
        <v>2</v>
      </c>
      <c r="D35" s="487">
        <f>'Previsión de negocio'!E268</f>
        <v>0.25</v>
      </c>
      <c r="E35" s="295">
        <f t="shared" ca="1" si="4"/>
        <v>0</v>
      </c>
      <c r="F35" s="295">
        <f t="shared" ca="1" si="5"/>
        <v>0</v>
      </c>
      <c r="G35" s="295">
        <f t="shared" ca="1" si="6"/>
        <v>0</v>
      </c>
      <c r="I35" s="41"/>
      <c r="J35" s="2"/>
      <c r="K35" s="2"/>
      <c r="L35" s="2"/>
      <c r="M35" s="2"/>
      <c r="N35" s="69"/>
      <c r="O35" s="69"/>
      <c r="P35" s="69"/>
      <c r="Q35" s="69"/>
    </row>
    <row r="36" spans="2:18" ht="15.75" x14ac:dyDescent="0.25">
      <c r="B36" s="156" t="str">
        <f t="shared" si="3"/>
        <v>Aplazado meses:</v>
      </c>
      <c r="C36" s="156">
        <f>'Previsión de negocio'!D269</f>
        <v>3</v>
      </c>
      <c r="D36" s="487">
        <f>'Previsión de negocio'!E269</f>
        <v>0.25</v>
      </c>
      <c r="E36" s="295">
        <f t="shared" ca="1" si="4"/>
        <v>0</v>
      </c>
      <c r="F36" s="295">
        <f t="shared" ca="1" si="5"/>
        <v>0</v>
      </c>
      <c r="G36" s="295">
        <f t="shared" ca="1" si="6"/>
        <v>0</v>
      </c>
      <c r="I36" s="41"/>
      <c r="J36" s="2"/>
      <c r="K36" s="2"/>
      <c r="L36" s="2"/>
      <c r="M36" s="2"/>
      <c r="N36" s="69"/>
      <c r="O36" s="69"/>
      <c r="P36" s="69"/>
      <c r="Q36" s="69"/>
    </row>
    <row r="37" spans="2:18" ht="15.75" x14ac:dyDescent="0.25">
      <c r="B37" s="156" t="str">
        <f t="shared" si="3"/>
        <v>Aplazado meses:</v>
      </c>
      <c r="C37" s="156">
        <f>'Previsión de negocio'!D270</f>
        <v>0</v>
      </c>
      <c r="D37" s="487">
        <f>'Previsión de negocio'!E270</f>
        <v>0</v>
      </c>
      <c r="E37" s="295">
        <f t="shared" ca="1" si="4"/>
        <v>0</v>
      </c>
      <c r="F37" s="295">
        <f t="shared" ca="1" si="5"/>
        <v>0</v>
      </c>
      <c r="G37" s="295">
        <f t="shared" ca="1" si="6"/>
        <v>0</v>
      </c>
      <c r="I37" s="41"/>
      <c r="J37" s="2"/>
      <c r="K37" s="2"/>
      <c r="L37" s="2"/>
      <c r="M37" s="2"/>
      <c r="N37" s="69"/>
      <c r="O37" s="69"/>
      <c r="P37" s="69"/>
      <c r="Q37" s="69"/>
    </row>
    <row r="38" spans="2:18" ht="15.75" x14ac:dyDescent="0.25">
      <c r="B38" s="156" t="str">
        <f t="shared" si="3"/>
        <v>Aplazado meses:</v>
      </c>
      <c r="C38" s="156">
        <f>'Previsión de negocio'!D271</f>
        <v>0</v>
      </c>
      <c r="D38" s="487">
        <f>'Previsión de negocio'!E271</f>
        <v>0</v>
      </c>
      <c r="E38" s="295">
        <f t="shared" ca="1" si="4"/>
        <v>0</v>
      </c>
      <c r="F38" s="295">
        <f t="shared" ca="1" si="5"/>
        <v>0</v>
      </c>
      <c r="G38" s="295">
        <f t="shared" ca="1" si="6"/>
        <v>0</v>
      </c>
      <c r="I38" s="41"/>
      <c r="J38" s="2"/>
      <c r="K38" s="2"/>
      <c r="L38" s="2"/>
      <c r="M38" s="2"/>
      <c r="N38" s="69"/>
      <c r="O38" s="69"/>
      <c r="P38" s="69"/>
      <c r="Q38" s="69"/>
    </row>
    <row r="39" spans="2:18" ht="15.75" x14ac:dyDescent="0.25">
      <c r="B39" s="156" t="str">
        <f t="shared" si="3"/>
        <v>Aplazado meses:</v>
      </c>
      <c r="C39" s="156">
        <f>'Previsión de negocio'!D272</f>
        <v>0</v>
      </c>
      <c r="D39" s="487">
        <f>'Previsión de negocio'!E272</f>
        <v>0</v>
      </c>
      <c r="E39" s="295">
        <f t="shared" ca="1" si="4"/>
        <v>0</v>
      </c>
      <c r="F39" s="295">
        <f t="shared" ca="1" si="5"/>
        <v>0</v>
      </c>
      <c r="G39" s="295">
        <f t="shared" ca="1" si="6"/>
        <v>0</v>
      </c>
      <c r="I39" s="41"/>
      <c r="J39" s="2"/>
      <c r="K39" s="2"/>
      <c r="L39" s="2"/>
      <c r="M39" s="2"/>
      <c r="N39" s="69"/>
      <c r="O39" s="69"/>
      <c r="P39" s="69"/>
      <c r="Q39" s="69"/>
    </row>
    <row r="40" spans="2:18" ht="15.75" x14ac:dyDescent="0.25">
      <c r="B40" s="156" t="str">
        <f t="shared" si="3"/>
        <v>Aplazado meses:</v>
      </c>
      <c r="C40" s="156">
        <f>'Previsión de negocio'!D273</f>
        <v>0</v>
      </c>
      <c r="D40" s="487">
        <f>'Previsión de negocio'!E273</f>
        <v>0</v>
      </c>
      <c r="E40" s="295">
        <f t="shared" ca="1" si="4"/>
        <v>0</v>
      </c>
      <c r="F40" s="295">
        <f t="shared" ca="1" si="5"/>
        <v>0</v>
      </c>
      <c r="G40" s="295">
        <f t="shared" ca="1" si="6"/>
        <v>0</v>
      </c>
      <c r="I40" s="41"/>
      <c r="J40" s="2"/>
      <c r="K40" s="2"/>
      <c r="L40" s="2"/>
      <c r="M40" s="2"/>
      <c r="N40" s="69"/>
      <c r="O40" s="69"/>
      <c r="P40" s="69"/>
      <c r="Q40" s="69"/>
    </row>
    <row r="41" spans="2:18" ht="15.75" x14ac:dyDescent="0.25">
      <c r="B41" s="475" t="s">
        <v>739</v>
      </c>
      <c r="C41" s="476">
        <f>C128</f>
        <v>0</v>
      </c>
      <c r="D41" s="477">
        <f>'Previsión de negocio'!E274</f>
        <v>1</v>
      </c>
      <c r="E41" s="478">
        <f t="shared" ca="1" si="4"/>
        <v>0</v>
      </c>
      <c r="F41" s="478">
        <f t="shared" ca="1" si="5"/>
        <v>0</v>
      </c>
      <c r="G41" s="353">
        <f t="shared" ca="1" si="6"/>
        <v>0</v>
      </c>
      <c r="I41" s="41"/>
      <c r="J41" s="2"/>
      <c r="K41" s="2"/>
      <c r="L41" s="2"/>
      <c r="M41" s="2"/>
      <c r="N41" s="69"/>
      <c r="O41" s="69"/>
      <c r="P41" s="69"/>
      <c r="Q41" s="69"/>
      <c r="R41" s="4"/>
    </row>
    <row r="42" spans="2:18" ht="18" customHeight="1" x14ac:dyDescent="0.25">
      <c r="B42" s="300" t="s">
        <v>740</v>
      </c>
      <c r="C42" s="300"/>
      <c r="D42" s="295">
        <f>D129</f>
        <v>0</v>
      </c>
      <c r="E42" s="295">
        <f ca="1">P129</f>
        <v>0</v>
      </c>
      <c r="F42" s="295">
        <f t="shared" ca="1" si="5"/>
        <v>0</v>
      </c>
      <c r="G42" s="295">
        <f t="shared" ca="1" si="6"/>
        <v>0</v>
      </c>
      <c r="I42" s="41"/>
      <c r="J42" s="2"/>
      <c r="K42" s="2"/>
      <c r="L42" s="2"/>
      <c r="M42" s="2"/>
      <c r="N42" s="69"/>
      <c r="O42" s="69"/>
      <c r="P42" s="69"/>
      <c r="Q42" s="69"/>
    </row>
    <row r="43" spans="2:18" ht="25.5" customHeight="1" x14ac:dyDescent="0.25">
      <c r="B43" s="300" t="s">
        <v>741</v>
      </c>
      <c r="C43" s="432"/>
      <c r="D43" s="432"/>
      <c r="E43" s="485">
        <f ca="1">P131</f>
        <v>0</v>
      </c>
      <c r="F43" s="485">
        <f ca="1">P152</f>
        <v>0</v>
      </c>
      <c r="G43" s="485">
        <f ca="1">P173</f>
        <v>0</v>
      </c>
      <c r="I43" s="41"/>
      <c r="J43" s="2"/>
      <c r="K43" s="2"/>
      <c r="L43" s="2"/>
      <c r="M43" s="2"/>
      <c r="N43" s="69"/>
      <c r="O43" s="69"/>
      <c r="P43" s="69"/>
      <c r="Q43" s="69"/>
      <c r="R43" s="4"/>
    </row>
    <row r="44" spans="2:18" ht="15.75" x14ac:dyDescent="0.25">
      <c r="B44" s="464" t="s">
        <v>708</v>
      </c>
      <c r="C44" s="464"/>
      <c r="D44" s="464"/>
      <c r="E44" s="484">
        <f>IF('Datos generales'!$D$22&lt;=0,E43*'Datos generales'!$D$16,0)</f>
        <v>0</v>
      </c>
      <c r="F44" s="484">
        <f>IF('Datos generales'!$D$22&lt;=0,F43*'Datos generales'!$D$16,0)</f>
        <v>0</v>
      </c>
      <c r="G44" s="484">
        <f>IF('Datos generales'!$D$22&lt;=0,G43*'Datos generales'!$D$16,0)</f>
        <v>0</v>
      </c>
      <c r="I44" s="41"/>
      <c r="J44" s="2"/>
      <c r="K44" s="2"/>
      <c r="L44" s="2"/>
      <c r="M44" s="2"/>
      <c r="N44" s="69"/>
      <c r="O44" s="69"/>
      <c r="P44" s="69"/>
      <c r="Q44" s="69"/>
    </row>
    <row r="45" spans="2:18" ht="9.75" customHeight="1" thickBot="1" x14ac:dyDescent="0.3">
      <c r="B45" s="1"/>
      <c r="C45" s="1"/>
      <c r="D45" s="1"/>
      <c r="E45" s="479"/>
      <c r="F45" s="479"/>
      <c r="G45" s="479"/>
      <c r="I45" s="41"/>
      <c r="J45" s="2"/>
      <c r="K45" s="2"/>
      <c r="L45" s="2"/>
      <c r="M45" s="2"/>
      <c r="N45" s="69"/>
      <c r="O45" s="69"/>
      <c r="P45" s="69"/>
      <c r="Q45" s="69"/>
      <c r="R45" s="4"/>
    </row>
    <row r="46" spans="2:18" ht="16.5" thickBot="1" x14ac:dyDescent="0.3">
      <c r="B46" s="462" t="s">
        <v>742</v>
      </c>
      <c r="C46" s="472"/>
      <c r="D46" s="473"/>
      <c r="E46" s="474">
        <f ca="1">SUM(E43:E44)</f>
        <v>0</v>
      </c>
      <c r="F46" s="474">
        <f ca="1">SUM(F43:F44)</f>
        <v>0</v>
      </c>
      <c r="G46" s="463">
        <f ca="1">SUM(G43:G44)</f>
        <v>0</v>
      </c>
    </row>
    <row r="47" spans="2:18" ht="15.75" x14ac:dyDescent="0.25">
      <c r="B47" s="2"/>
      <c r="C47" s="2"/>
      <c r="D47" s="2"/>
      <c r="E47" s="2"/>
      <c r="F47" s="69"/>
      <c r="G47" s="69"/>
      <c r="H47" s="69"/>
    </row>
    <row r="48" spans="2:18" ht="15.75" x14ac:dyDescent="0.25">
      <c r="B48" s="2"/>
      <c r="C48" s="2"/>
      <c r="D48" s="2"/>
      <c r="E48" s="400"/>
      <c r="F48" s="69"/>
      <c r="G48" s="69"/>
      <c r="H48" s="69"/>
    </row>
    <row r="49" spans="2:42" ht="15.75" x14ac:dyDescent="0.25">
      <c r="B49" s="2"/>
      <c r="C49" s="2"/>
      <c r="D49" s="2"/>
      <c r="E49" s="2"/>
      <c r="F49" s="69"/>
      <c r="G49" s="69"/>
      <c r="H49" s="69"/>
    </row>
    <row r="50" spans="2:42" ht="15.75" x14ac:dyDescent="0.25">
      <c r="B50" s="138" t="s">
        <v>732</v>
      </c>
      <c r="C50" s="138"/>
      <c r="E50" s="138" t="s">
        <v>459</v>
      </c>
    </row>
    <row r="51" spans="2:42" ht="8.25" customHeight="1" x14ac:dyDescent="0.25">
      <c r="B51" s="2"/>
      <c r="C51" s="2"/>
      <c r="D51" s="59"/>
      <c r="E51" s="41"/>
      <c r="F51" s="41"/>
      <c r="G51" s="41"/>
      <c r="H51" s="41"/>
      <c r="I51" s="41"/>
      <c r="J51" s="41"/>
      <c r="K51" s="41"/>
      <c r="L51" s="41"/>
      <c r="M51" s="41"/>
      <c r="N51" s="41"/>
      <c r="O51" s="41"/>
      <c r="P51" s="41"/>
      <c r="Q51" s="41"/>
      <c r="R51" s="4"/>
    </row>
    <row r="52" spans="2:42" ht="15" customHeight="1" thickBot="1" x14ac:dyDescent="0.3">
      <c r="B52" s="41"/>
      <c r="C52" s="41"/>
      <c r="D52" s="298"/>
      <c r="E52" s="488" t="s">
        <v>296</v>
      </c>
      <c r="F52" s="488" t="s">
        <v>297</v>
      </c>
      <c r="G52" s="488" t="s">
        <v>298</v>
      </c>
      <c r="H52" s="488" t="s">
        <v>120</v>
      </c>
      <c r="I52" s="488" t="s">
        <v>121</v>
      </c>
      <c r="J52" s="488" t="s">
        <v>122</v>
      </c>
      <c r="K52" s="488" t="s">
        <v>123</v>
      </c>
      <c r="L52" s="488" t="s">
        <v>299</v>
      </c>
      <c r="M52" s="488" t="s">
        <v>300</v>
      </c>
      <c r="N52" s="488" t="s">
        <v>301</v>
      </c>
      <c r="O52" s="488" t="s">
        <v>302</v>
      </c>
      <c r="P52" s="488" t="s">
        <v>303</v>
      </c>
      <c r="Q52" s="488" t="s">
        <v>743</v>
      </c>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row>
    <row r="53" spans="2:42" s="75" customFormat="1" ht="16.5" thickBot="1" x14ac:dyDescent="0.3">
      <c r="B53" s="468" t="s">
        <v>744</v>
      </c>
      <c r="C53" s="469"/>
      <c r="D53" s="469"/>
      <c r="E53" s="470">
        <f>'Presupuesto de ventas'!D60</f>
        <v>0</v>
      </c>
      <c r="F53" s="470">
        <f>'Presupuesto de ventas'!E60</f>
        <v>0</v>
      </c>
      <c r="G53" s="470">
        <f>'Presupuesto de ventas'!F60</f>
        <v>0</v>
      </c>
      <c r="H53" s="470">
        <f>'Presupuesto de ventas'!G60</f>
        <v>0</v>
      </c>
      <c r="I53" s="470">
        <f>'Presupuesto de ventas'!H60</f>
        <v>0</v>
      </c>
      <c r="J53" s="470">
        <f>'Presupuesto de ventas'!I60</f>
        <v>0</v>
      </c>
      <c r="K53" s="470">
        <f>'Presupuesto de ventas'!J60</f>
        <v>0</v>
      </c>
      <c r="L53" s="470">
        <f>'Presupuesto de ventas'!K60</f>
        <v>0</v>
      </c>
      <c r="M53" s="470">
        <f>'Presupuesto de ventas'!L60</f>
        <v>0</v>
      </c>
      <c r="N53" s="470">
        <f>'Presupuesto de ventas'!M60</f>
        <v>0</v>
      </c>
      <c r="O53" s="470">
        <f>'Presupuesto de ventas'!N60</f>
        <v>0</v>
      </c>
      <c r="P53" s="470">
        <f>'Presupuesto de ventas'!O60</f>
        <v>0</v>
      </c>
      <c r="Q53" s="471">
        <f>SUM(E53:P53)</f>
        <v>0</v>
      </c>
      <c r="R53" s="85"/>
      <c r="S53" s="85"/>
      <c r="T53" s="85"/>
      <c r="U53" s="85"/>
      <c r="V53" s="85"/>
      <c r="W53" s="85"/>
      <c r="X53" s="85"/>
      <c r="Y53" s="85"/>
      <c r="Z53" s="85"/>
      <c r="AA53" s="85"/>
      <c r="AB53" s="85"/>
      <c r="AC53" s="85"/>
      <c r="AD53" s="85"/>
      <c r="AE53" s="85"/>
      <c r="AF53" s="85"/>
      <c r="AG53" s="85"/>
      <c r="AH53" s="85"/>
      <c r="AI53" s="85"/>
      <c r="AJ53" s="85"/>
      <c r="AK53" s="85"/>
      <c r="AL53" s="85"/>
      <c r="AM53" s="85"/>
      <c r="AN53" s="85"/>
    </row>
    <row r="54" spans="2:42" s="75" customFormat="1" ht="15.75" x14ac:dyDescent="0.25">
      <c r="B54" s="2" t="s">
        <v>708</v>
      </c>
      <c r="C54" s="2"/>
      <c r="D54" s="2"/>
      <c r="E54" s="59">
        <f>E53*'Datos generales'!$D$22</f>
        <v>0</v>
      </c>
      <c r="F54" s="59">
        <f>F53*'Datos generales'!$D$22</f>
        <v>0</v>
      </c>
      <c r="G54" s="59">
        <f>G53*'Datos generales'!$D$22</f>
        <v>0</v>
      </c>
      <c r="H54" s="59">
        <f>H53*'Datos generales'!$D$22</f>
        <v>0</v>
      </c>
      <c r="I54" s="59">
        <f>I53*'Datos generales'!$D$22</f>
        <v>0</v>
      </c>
      <c r="J54" s="59">
        <f>J53*'Datos generales'!$D$22</f>
        <v>0</v>
      </c>
      <c r="K54" s="59">
        <f>K53*'Datos generales'!$D$22</f>
        <v>0</v>
      </c>
      <c r="L54" s="59">
        <f>L53*'Datos generales'!$D$22</f>
        <v>0</v>
      </c>
      <c r="M54" s="59">
        <f>M53*'Datos generales'!$D$22</f>
        <v>0</v>
      </c>
      <c r="N54" s="59">
        <f>N53*'Datos generales'!$D$22</f>
        <v>0</v>
      </c>
      <c r="O54" s="59">
        <f>O53*'Datos generales'!$D$22</f>
        <v>0</v>
      </c>
      <c r="P54" s="59">
        <f>P53*'Datos generales'!$D$22</f>
        <v>0</v>
      </c>
      <c r="Q54" s="59">
        <f>SUM(E54:P54)</f>
        <v>0</v>
      </c>
      <c r="R54" s="85"/>
      <c r="S54" s="85"/>
      <c r="T54" s="85"/>
      <c r="U54" s="85"/>
      <c r="V54" s="85"/>
      <c r="W54" s="85"/>
      <c r="X54" s="85"/>
      <c r="Y54" s="85"/>
      <c r="Z54" s="85"/>
      <c r="AA54" s="85"/>
      <c r="AB54" s="85"/>
      <c r="AC54" s="85"/>
      <c r="AD54" s="85"/>
      <c r="AE54" s="85"/>
      <c r="AF54" s="85"/>
      <c r="AG54" s="85"/>
      <c r="AH54" s="85"/>
      <c r="AI54" s="85"/>
      <c r="AJ54" s="85"/>
      <c r="AK54" s="85"/>
      <c r="AL54" s="85"/>
      <c r="AM54" s="85"/>
      <c r="AN54" s="85"/>
    </row>
    <row r="55" spans="2:42" s="75" customFormat="1" ht="15.75" x14ac:dyDescent="0.25">
      <c r="B55" s="2" t="s">
        <v>745</v>
      </c>
      <c r="C55" s="2"/>
      <c r="D55" s="2"/>
      <c r="E55" s="59">
        <f>SUM(E53:E54)</f>
        <v>0</v>
      </c>
      <c r="F55" s="59">
        <f>SUM(F53:F54)</f>
        <v>0</v>
      </c>
      <c r="G55" s="59">
        <f>SUM(G53:G54)</f>
        <v>0</v>
      </c>
      <c r="H55" s="59">
        <f>SUM(H53:H54)</f>
        <v>0</v>
      </c>
      <c r="I55" s="59">
        <f t="shared" ref="I55:P55" si="7">SUM(I53:I54)</f>
        <v>0</v>
      </c>
      <c r="J55" s="59">
        <f t="shared" si="7"/>
        <v>0</v>
      </c>
      <c r="K55" s="59">
        <f t="shared" si="7"/>
        <v>0</v>
      </c>
      <c r="L55" s="59">
        <f t="shared" si="7"/>
        <v>0</v>
      </c>
      <c r="M55" s="59">
        <f t="shared" si="7"/>
        <v>0</v>
      </c>
      <c r="N55" s="59">
        <f t="shared" si="7"/>
        <v>0</v>
      </c>
      <c r="O55" s="59">
        <f t="shared" si="7"/>
        <v>0</v>
      </c>
      <c r="P55" s="59">
        <f t="shared" si="7"/>
        <v>0</v>
      </c>
      <c r="Q55" s="59">
        <f>SUM(E55:P55)</f>
        <v>0</v>
      </c>
      <c r="R55" s="85"/>
      <c r="S55" s="85"/>
      <c r="T55" s="85"/>
      <c r="U55" s="85"/>
      <c r="V55" s="85"/>
      <c r="W55" s="85"/>
      <c r="X55" s="85"/>
      <c r="Y55" s="85"/>
      <c r="Z55" s="85"/>
      <c r="AA55" s="85"/>
      <c r="AB55" s="85"/>
      <c r="AC55" s="85"/>
      <c r="AD55" s="85"/>
      <c r="AE55" s="85"/>
      <c r="AF55" s="85"/>
      <c r="AG55" s="85"/>
      <c r="AH55" s="85"/>
      <c r="AI55" s="85"/>
      <c r="AJ55" s="85"/>
      <c r="AK55" s="85"/>
      <c r="AL55" s="85"/>
      <c r="AM55" s="85"/>
      <c r="AN55" s="85"/>
    </row>
    <row r="56" spans="2:42" ht="18.75" customHeight="1" x14ac:dyDescent="0.2">
      <c r="B56" s="464" t="s">
        <v>157</v>
      </c>
      <c r="C56" s="464"/>
      <c r="D56" s="696" t="s">
        <v>158</v>
      </c>
      <c r="E56" s="42"/>
      <c r="F56" s="42"/>
      <c r="G56" s="42"/>
      <c r="H56" s="42"/>
      <c r="I56" s="42"/>
      <c r="J56" s="42"/>
      <c r="K56" s="42"/>
      <c r="L56" s="42"/>
      <c r="M56" s="42"/>
      <c r="N56" s="42"/>
      <c r="O56" s="42"/>
      <c r="P56" s="42"/>
      <c r="Q56" s="58"/>
    </row>
    <row r="57" spans="2:42" x14ac:dyDescent="0.2">
      <c r="B57" s="41" t="s">
        <v>735</v>
      </c>
      <c r="C57" s="41"/>
      <c r="D57" s="461">
        <f>D15</f>
        <v>0.25</v>
      </c>
      <c r="E57" s="356">
        <f t="shared" ref="E57:H64" ca="1" si="8">IF(ISERROR(OFFSET(E$55,0,-$C57)*$D57)=TRUE,0,OFFSET(E$55,0,-$C57)*$D57)</f>
        <v>0</v>
      </c>
      <c r="F57" s="356">
        <f t="shared" ca="1" si="8"/>
        <v>0</v>
      </c>
      <c r="G57" s="356">
        <f t="shared" ca="1" si="8"/>
        <v>0</v>
      </c>
      <c r="H57" s="356">
        <f t="shared" ca="1" si="8"/>
        <v>0</v>
      </c>
      <c r="I57" s="356">
        <f t="shared" ref="I57:P64" ca="1" si="9">IF(ISERROR(OFFSET(I$55,0,-$C57)*$D57)=TRUE,0,OFFSET(I$55,0,-$C57)*$D57)</f>
        <v>0</v>
      </c>
      <c r="J57" s="356">
        <f t="shared" ca="1" si="9"/>
        <v>0</v>
      </c>
      <c r="K57" s="356">
        <f t="shared" ca="1" si="9"/>
        <v>0</v>
      </c>
      <c r="L57" s="356">
        <f t="shared" ca="1" si="9"/>
        <v>0</v>
      </c>
      <c r="M57" s="356">
        <f t="shared" ca="1" si="9"/>
        <v>0</v>
      </c>
      <c r="N57" s="356">
        <f t="shared" ca="1" si="9"/>
        <v>0</v>
      </c>
      <c r="O57" s="356">
        <f t="shared" ca="1" si="9"/>
        <v>0</v>
      </c>
      <c r="P57" s="356">
        <f t="shared" ca="1" si="9"/>
        <v>0</v>
      </c>
      <c r="Q57" s="491">
        <f t="shared" ref="Q57:Q64" ca="1" si="10">SUM(E57:P57)</f>
        <v>0</v>
      </c>
      <c r="R57" s="42"/>
      <c r="S57" s="42"/>
      <c r="T57" s="42"/>
      <c r="U57" s="42"/>
      <c r="V57" s="42"/>
      <c r="W57" s="42"/>
      <c r="X57" s="42"/>
      <c r="Y57" s="42"/>
      <c r="Z57" s="42"/>
      <c r="AA57" s="42"/>
      <c r="AB57" s="42"/>
      <c r="AC57" s="42"/>
      <c r="AD57" s="42"/>
      <c r="AE57" s="42"/>
      <c r="AF57" s="42"/>
      <c r="AG57" s="42"/>
      <c r="AH57" s="42"/>
      <c r="AI57" s="42"/>
      <c r="AJ57" s="42"/>
      <c r="AK57" s="42"/>
      <c r="AL57" s="42"/>
      <c r="AM57" s="42"/>
      <c r="AN57" s="42"/>
    </row>
    <row r="58" spans="2:42" x14ac:dyDescent="0.2">
      <c r="B58" t="s">
        <v>736</v>
      </c>
      <c r="C58" s="41">
        <f>'Previsión de negocio'!D255</f>
        <v>1</v>
      </c>
      <c r="D58" s="461">
        <f t="shared" ref="D58:D65" si="11">D16</f>
        <v>0.25</v>
      </c>
      <c r="E58" s="356">
        <f t="shared" ca="1" si="8"/>
        <v>0</v>
      </c>
      <c r="F58" s="356">
        <f t="shared" ca="1" si="8"/>
        <v>0</v>
      </c>
      <c r="G58" s="356">
        <f t="shared" ca="1" si="8"/>
        <v>0</v>
      </c>
      <c r="H58" s="356">
        <f t="shared" ca="1" si="8"/>
        <v>0</v>
      </c>
      <c r="I58" s="356">
        <f t="shared" ca="1" si="9"/>
        <v>0</v>
      </c>
      <c r="J58" s="356">
        <f t="shared" ca="1" si="9"/>
        <v>0</v>
      </c>
      <c r="K58" s="356">
        <f t="shared" ca="1" si="9"/>
        <v>0</v>
      </c>
      <c r="L58" s="356">
        <f t="shared" ca="1" si="9"/>
        <v>0</v>
      </c>
      <c r="M58" s="356">
        <f t="shared" ca="1" si="9"/>
        <v>0</v>
      </c>
      <c r="N58" s="356">
        <f t="shared" ca="1" si="9"/>
        <v>0</v>
      </c>
      <c r="O58" s="356">
        <f t="shared" ca="1" si="9"/>
        <v>0</v>
      </c>
      <c r="P58" s="356">
        <f t="shared" ca="1" si="9"/>
        <v>0</v>
      </c>
      <c r="Q58" s="376">
        <f t="shared" ca="1" si="10"/>
        <v>0</v>
      </c>
      <c r="R58" s="42"/>
      <c r="S58" s="42"/>
      <c r="T58" s="42"/>
      <c r="U58" s="42"/>
      <c r="V58" s="42"/>
      <c r="W58" s="42"/>
      <c r="X58" s="42"/>
      <c r="Y58" s="42"/>
      <c r="Z58" s="42"/>
      <c r="AA58" s="42"/>
      <c r="AB58" s="42"/>
      <c r="AC58" s="42"/>
      <c r="AD58" s="42"/>
      <c r="AE58" s="42"/>
      <c r="AF58" s="42"/>
      <c r="AG58" s="42"/>
      <c r="AH58" s="42"/>
      <c r="AI58" s="42"/>
      <c r="AJ58" s="42"/>
      <c r="AK58" s="42"/>
      <c r="AL58" s="42"/>
      <c r="AM58" s="42"/>
      <c r="AN58" s="42"/>
      <c r="AO58" s="58"/>
      <c r="AP58" s="58"/>
    </row>
    <row r="59" spans="2:42" x14ac:dyDescent="0.2">
      <c r="B59" t="s">
        <v>736</v>
      </c>
      <c r="C59" s="41">
        <f>'Previsión de negocio'!D256</f>
        <v>2</v>
      </c>
      <c r="D59" s="461">
        <f t="shared" si="11"/>
        <v>0.25</v>
      </c>
      <c r="E59" s="356">
        <f t="shared" ca="1" si="8"/>
        <v>0</v>
      </c>
      <c r="F59" s="356">
        <f t="shared" ca="1" si="8"/>
        <v>0</v>
      </c>
      <c r="G59" s="356">
        <f t="shared" ca="1" si="8"/>
        <v>0</v>
      </c>
      <c r="H59" s="356">
        <f t="shared" ca="1" si="8"/>
        <v>0</v>
      </c>
      <c r="I59" s="356">
        <f t="shared" ca="1" si="9"/>
        <v>0</v>
      </c>
      <c r="J59" s="356">
        <f t="shared" ca="1" si="9"/>
        <v>0</v>
      </c>
      <c r="K59" s="356">
        <f t="shared" ca="1" si="9"/>
        <v>0</v>
      </c>
      <c r="L59" s="356">
        <f t="shared" ca="1" si="9"/>
        <v>0</v>
      </c>
      <c r="M59" s="356">
        <f t="shared" ca="1" si="9"/>
        <v>0</v>
      </c>
      <c r="N59" s="356">
        <f t="shared" ca="1" si="9"/>
        <v>0</v>
      </c>
      <c r="O59" s="356">
        <f t="shared" ca="1" si="9"/>
        <v>0</v>
      </c>
      <c r="P59" s="356">
        <f t="shared" ca="1" si="9"/>
        <v>0</v>
      </c>
      <c r="Q59" s="376">
        <f t="shared" ca="1" si="10"/>
        <v>0</v>
      </c>
      <c r="R59" s="42"/>
      <c r="S59" s="42"/>
      <c r="T59" s="42"/>
      <c r="U59" s="42"/>
      <c r="V59" s="42"/>
      <c r="W59" s="42"/>
      <c r="X59" s="42"/>
      <c r="Y59" s="42"/>
      <c r="Z59" s="42"/>
      <c r="AA59" s="42"/>
      <c r="AB59" s="42"/>
      <c r="AC59" s="42"/>
      <c r="AD59" s="42"/>
      <c r="AE59" s="42"/>
      <c r="AF59" s="42"/>
      <c r="AG59" s="42"/>
      <c r="AH59" s="42"/>
      <c r="AI59" s="42"/>
      <c r="AJ59" s="42"/>
      <c r="AK59" s="42"/>
      <c r="AL59" s="42"/>
      <c r="AM59" s="42"/>
      <c r="AN59" s="42"/>
      <c r="AO59" s="58"/>
      <c r="AP59" s="58"/>
    </row>
    <row r="60" spans="2:42" x14ac:dyDescent="0.2">
      <c r="B60" t="s">
        <v>736</v>
      </c>
      <c r="C60" s="41">
        <f>'Previsión de negocio'!D257</f>
        <v>3</v>
      </c>
      <c r="D60" s="461">
        <f t="shared" si="11"/>
        <v>0.25</v>
      </c>
      <c r="E60" s="356">
        <f t="shared" ca="1" si="8"/>
        <v>0</v>
      </c>
      <c r="F60" s="356">
        <f t="shared" ca="1" si="8"/>
        <v>0</v>
      </c>
      <c r="G60" s="356">
        <f t="shared" ca="1" si="8"/>
        <v>0</v>
      </c>
      <c r="H60" s="356">
        <f t="shared" ca="1" si="8"/>
        <v>0</v>
      </c>
      <c r="I60" s="356">
        <f t="shared" ca="1" si="9"/>
        <v>0</v>
      </c>
      <c r="J60" s="356">
        <f t="shared" ca="1" si="9"/>
        <v>0</v>
      </c>
      <c r="K60" s="356">
        <f t="shared" ca="1" si="9"/>
        <v>0</v>
      </c>
      <c r="L60" s="356">
        <f t="shared" ca="1" si="9"/>
        <v>0</v>
      </c>
      <c r="M60" s="356">
        <f t="shared" ca="1" si="9"/>
        <v>0</v>
      </c>
      <c r="N60" s="356">
        <f t="shared" ca="1" si="9"/>
        <v>0</v>
      </c>
      <c r="O60" s="356">
        <f t="shared" ca="1" si="9"/>
        <v>0</v>
      </c>
      <c r="P60" s="356">
        <f t="shared" ca="1" si="9"/>
        <v>0</v>
      </c>
      <c r="Q60" s="376">
        <f t="shared" ca="1" si="10"/>
        <v>0</v>
      </c>
      <c r="R60" s="42"/>
      <c r="S60" s="42"/>
      <c r="T60" s="42"/>
      <c r="U60" s="42"/>
      <c r="V60" s="42"/>
      <c r="W60" s="42"/>
      <c r="X60" s="42"/>
      <c r="Y60" s="42"/>
      <c r="Z60" s="42"/>
      <c r="AA60" s="42"/>
      <c r="AB60" s="42"/>
      <c r="AC60" s="42"/>
      <c r="AD60" s="42"/>
      <c r="AE60" s="42"/>
      <c r="AF60" s="42"/>
      <c r="AG60" s="42"/>
      <c r="AH60" s="42"/>
      <c r="AI60" s="42"/>
      <c r="AJ60" s="42"/>
      <c r="AK60" s="42"/>
      <c r="AL60" s="42"/>
      <c r="AM60" s="42"/>
      <c r="AN60" s="42"/>
      <c r="AO60" s="58"/>
      <c r="AP60" s="58"/>
    </row>
    <row r="61" spans="2:42" x14ac:dyDescent="0.2">
      <c r="B61" t="s">
        <v>736</v>
      </c>
      <c r="C61" s="41">
        <f>'Previsión de negocio'!D258</f>
        <v>0</v>
      </c>
      <c r="D61" s="461">
        <f t="shared" si="11"/>
        <v>0</v>
      </c>
      <c r="E61" s="356">
        <f t="shared" ca="1" si="8"/>
        <v>0</v>
      </c>
      <c r="F61" s="356">
        <f t="shared" ca="1" si="8"/>
        <v>0</v>
      </c>
      <c r="G61" s="356">
        <f t="shared" ca="1" si="8"/>
        <v>0</v>
      </c>
      <c r="H61" s="356">
        <f t="shared" ca="1" si="8"/>
        <v>0</v>
      </c>
      <c r="I61" s="356">
        <f t="shared" ca="1" si="9"/>
        <v>0</v>
      </c>
      <c r="J61" s="356">
        <f t="shared" ca="1" si="9"/>
        <v>0</v>
      </c>
      <c r="K61" s="356">
        <f t="shared" ca="1" si="9"/>
        <v>0</v>
      </c>
      <c r="L61" s="356">
        <f t="shared" ca="1" si="9"/>
        <v>0</v>
      </c>
      <c r="M61" s="356">
        <f t="shared" ca="1" si="9"/>
        <v>0</v>
      </c>
      <c r="N61" s="356">
        <f t="shared" ca="1" si="9"/>
        <v>0</v>
      </c>
      <c r="O61" s="356">
        <f t="shared" ca="1" si="9"/>
        <v>0</v>
      </c>
      <c r="P61" s="356">
        <f t="shared" ca="1" si="9"/>
        <v>0</v>
      </c>
      <c r="Q61" s="376">
        <f t="shared" ca="1" si="10"/>
        <v>0</v>
      </c>
      <c r="R61" s="42"/>
      <c r="S61" s="42"/>
      <c r="T61" s="42"/>
      <c r="U61" s="42"/>
      <c r="V61" s="42"/>
      <c r="W61" s="42"/>
      <c r="X61" s="42"/>
      <c r="Y61" s="42"/>
      <c r="Z61" s="42"/>
      <c r="AA61" s="42"/>
      <c r="AB61" s="42"/>
      <c r="AC61" s="42"/>
      <c r="AD61" s="42"/>
      <c r="AE61" s="42"/>
      <c r="AF61" s="42"/>
      <c r="AG61" s="42"/>
      <c r="AH61" s="42"/>
      <c r="AI61" s="42"/>
      <c r="AJ61" s="42"/>
      <c r="AK61" s="42"/>
      <c r="AL61" s="42"/>
      <c r="AM61" s="42"/>
      <c r="AN61" s="42"/>
      <c r="AO61" s="58"/>
      <c r="AP61" s="58"/>
    </row>
    <row r="62" spans="2:42" x14ac:dyDescent="0.2">
      <c r="B62" t="s">
        <v>736</v>
      </c>
      <c r="C62" s="41">
        <f>'Previsión de negocio'!D259</f>
        <v>0</v>
      </c>
      <c r="D62" s="461">
        <f t="shared" si="11"/>
        <v>0</v>
      </c>
      <c r="E62" s="356">
        <f t="shared" ca="1" si="8"/>
        <v>0</v>
      </c>
      <c r="F62" s="356">
        <f t="shared" ca="1" si="8"/>
        <v>0</v>
      </c>
      <c r="G62" s="356">
        <f t="shared" ca="1" si="8"/>
        <v>0</v>
      </c>
      <c r="H62" s="356">
        <f t="shared" ca="1" si="8"/>
        <v>0</v>
      </c>
      <c r="I62" s="356">
        <f t="shared" ca="1" si="9"/>
        <v>0</v>
      </c>
      <c r="J62" s="356">
        <f t="shared" ca="1" si="9"/>
        <v>0</v>
      </c>
      <c r="K62" s="356">
        <f t="shared" ca="1" si="9"/>
        <v>0</v>
      </c>
      <c r="L62" s="356">
        <f t="shared" ca="1" si="9"/>
        <v>0</v>
      </c>
      <c r="M62" s="356">
        <f t="shared" ca="1" si="9"/>
        <v>0</v>
      </c>
      <c r="N62" s="356">
        <f t="shared" ca="1" si="9"/>
        <v>0</v>
      </c>
      <c r="O62" s="356">
        <f t="shared" ca="1" si="9"/>
        <v>0</v>
      </c>
      <c r="P62" s="356">
        <f t="shared" ca="1" si="9"/>
        <v>0</v>
      </c>
      <c r="Q62" s="376">
        <f t="shared" ca="1" si="10"/>
        <v>0</v>
      </c>
      <c r="R62" s="42"/>
      <c r="S62" s="42"/>
      <c r="T62" s="42"/>
      <c r="U62" s="42"/>
      <c r="V62" s="42"/>
      <c r="W62" s="42"/>
      <c r="X62" s="42"/>
      <c r="Y62" s="42"/>
      <c r="Z62" s="42"/>
      <c r="AA62" s="42"/>
      <c r="AB62" s="42"/>
      <c r="AC62" s="42"/>
      <c r="AD62" s="42"/>
      <c r="AE62" s="42"/>
      <c r="AF62" s="42"/>
      <c r="AG62" s="42"/>
      <c r="AH62" s="42"/>
      <c r="AI62" s="42"/>
      <c r="AJ62" s="42"/>
      <c r="AK62" s="42"/>
      <c r="AL62" s="42"/>
      <c r="AM62" s="42"/>
      <c r="AN62" s="42"/>
      <c r="AO62" s="58"/>
      <c r="AP62" s="58"/>
    </row>
    <row r="63" spans="2:42" x14ac:dyDescent="0.2">
      <c r="B63" t="s">
        <v>736</v>
      </c>
      <c r="C63" s="41">
        <f>'Previsión de negocio'!D260</f>
        <v>0</v>
      </c>
      <c r="D63" s="461">
        <f t="shared" si="11"/>
        <v>0</v>
      </c>
      <c r="E63" s="356">
        <f t="shared" ca="1" si="8"/>
        <v>0</v>
      </c>
      <c r="F63" s="356">
        <f t="shared" ca="1" si="8"/>
        <v>0</v>
      </c>
      <c r="G63" s="356">
        <f t="shared" ca="1" si="8"/>
        <v>0</v>
      </c>
      <c r="H63" s="356">
        <f t="shared" ca="1" si="8"/>
        <v>0</v>
      </c>
      <c r="I63" s="356">
        <f t="shared" ca="1" si="9"/>
        <v>0</v>
      </c>
      <c r="J63" s="356">
        <f t="shared" ca="1" si="9"/>
        <v>0</v>
      </c>
      <c r="K63" s="356">
        <f t="shared" ca="1" si="9"/>
        <v>0</v>
      </c>
      <c r="L63" s="356">
        <f t="shared" ca="1" si="9"/>
        <v>0</v>
      </c>
      <c r="M63" s="356">
        <f t="shared" ca="1" si="9"/>
        <v>0</v>
      </c>
      <c r="N63" s="356">
        <f t="shared" ca="1" si="9"/>
        <v>0</v>
      </c>
      <c r="O63" s="356">
        <f t="shared" ca="1" si="9"/>
        <v>0</v>
      </c>
      <c r="P63" s="356">
        <f t="shared" ca="1" si="9"/>
        <v>0</v>
      </c>
      <c r="Q63" s="376">
        <f t="shared" ca="1" si="10"/>
        <v>0</v>
      </c>
      <c r="R63" s="42"/>
      <c r="S63" s="42"/>
      <c r="T63" s="42"/>
      <c r="U63" s="42"/>
      <c r="V63" s="42"/>
      <c r="W63" s="42"/>
      <c r="X63" s="42"/>
      <c r="Y63" s="42"/>
      <c r="Z63" s="42"/>
      <c r="AA63" s="42"/>
      <c r="AB63" s="42"/>
      <c r="AC63" s="42"/>
      <c r="AD63" s="42"/>
      <c r="AE63" s="42"/>
      <c r="AF63" s="42"/>
      <c r="AG63" s="42"/>
      <c r="AH63" s="42"/>
      <c r="AI63" s="42"/>
      <c r="AJ63" s="42"/>
      <c r="AK63" s="42"/>
      <c r="AL63" s="42"/>
      <c r="AM63" s="42"/>
      <c r="AN63" s="42"/>
      <c r="AO63" s="58"/>
      <c r="AP63" s="58"/>
    </row>
    <row r="64" spans="2:42" ht="13.5" thickBot="1" x14ac:dyDescent="0.25">
      <c r="B64" t="s">
        <v>736</v>
      </c>
      <c r="C64" s="41">
        <f>'Previsión de negocio'!D261</f>
        <v>0</v>
      </c>
      <c r="D64" s="461">
        <f t="shared" si="11"/>
        <v>0</v>
      </c>
      <c r="E64" s="356">
        <f t="shared" ca="1" si="8"/>
        <v>0</v>
      </c>
      <c r="F64" s="356">
        <f t="shared" ca="1" si="8"/>
        <v>0</v>
      </c>
      <c r="G64" s="356">
        <f t="shared" ca="1" si="8"/>
        <v>0</v>
      </c>
      <c r="H64" s="356">
        <f t="shared" ca="1" si="8"/>
        <v>0</v>
      </c>
      <c r="I64" s="356">
        <f t="shared" ca="1" si="9"/>
        <v>0</v>
      </c>
      <c r="J64" s="356">
        <f t="shared" ca="1" si="9"/>
        <v>0</v>
      </c>
      <c r="K64" s="356">
        <f t="shared" ca="1" si="9"/>
        <v>0</v>
      </c>
      <c r="L64" s="356">
        <f t="shared" ca="1" si="9"/>
        <v>0</v>
      </c>
      <c r="M64" s="356">
        <f t="shared" ca="1" si="9"/>
        <v>0</v>
      </c>
      <c r="N64" s="356">
        <f t="shared" ca="1" si="9"/>
        <v>0</v>
      </c>
      <c r="O64" s="356">
        <f t="shared" ca="1" si="9"/>
        <v>0</v>
      </c>
      <c r="P64" s="356">
        <f t="shared" ca="1" si="9"/>
        <v>0</v>
      </c>
      <c r="Q64" s="492">
        <f t="shared" ca="1" si="10"/>
        <v>0</v>
      </c>
      <c r="R64" s="42"/>
      <c r="S64" s="42"/>
      <c r="T64" s="42"/>
      <c r="U64" s="42"/>
      <c r="V64" s="42"/>
      <c r="W64" s="42"/>
      <c r="X64" s="42"/>
      <c r="Y64" s="42"/>
      <c r="Z64" s="42"/>
      <c r="AA64" s="42"/>
      <c r="AB64" s="42"/>
      <c r="AC64" s="42"/>
      <c r="AD64" s="42"/>
      <c r="AE64" s="42"/>
      <c r="AF64" s="42"/>
      <c r="AG64" s="42"/>
      <c r="AH64" s="42"/>
      <c r="AI64" s="42"/>
      <c r="AJ64" s="42"/>
      <c r="AK64" s="42"/>
      <c r="AL64" s="42"/>
      <c r="AM64" s="42"/>
      <c r="AN64" s="42"/>
      <c r="AO64" s="58"/>
      <c r="AP64" s="58"/>
    </row>
    <row r="65" spans="2:42" ht="16.5" thickBot="1" x14ac:dyDescent="0.3">
      <c r="B65" s="462" t="str">
        <f>B23</f>
        <v>Total cobrado:</v>
      </c>
      <c r="C65" s="472"/>
      <c r="D65" s="489">
        <f t="shared" si="11"/>
        <v>1</v>
      </c>
      <c r="E65" s="279">
        <f t="shared" ref="E65:P65" ca="1" si="12">SUM(E57:E64)</f>
        <v>0</v>
      </c>
      <c r="F65" s="279">
        <f t="shared" ca="1" si="12"/>
        <v>0</v>
      </c>
      <c r="G65" s="279">
        <f t="shared" ca="1" si="12"/>
        <v>0</v>
      </c>
      <c r="H65" s="279">
        <f t="shared" ca="1" si="12"/>
        <v>0</v>
      </c>
      <c r="I65" s="279">
        <f t="shared" ca="1" si="12"/>
        <v>0</v>
      </c>
      <c r="J65" s="279">
        <f t="shared" ca="1" si="12"/>
        <v>0</v>
      </c>
      <c r="K65" s="279">
        <f t="shared" ca="1" si="12"/>
        <v>0</v>
      </c>
      <c r="L65" s="279">
        <f t="shared" ca="1" si="12"/>
        <v>0</v>
      </c>
      <c r="M65" s="279">
        <f t="shared" ca="1" si="12"/>
        <v>0</v>
      </c>
      <c r="N65" s="279">
        <f t="shared" ca="1" si="12"/>
        <v>0</v>
      </c>
      <c r="O65" s="279">
        <f t="shared" ca="1" si="12"/>
        <v>0</v>
      </c>
      <c r="P65" s="279">
        <f t="shared" ca="1" si="12"/>
        <v>0</v>
      </c>
      <c r="Q65" s="456">
        <f ca="1">SUM(Q57:Q64)</f>
        <v>0</v>
      </c>
      <c r="R65" s="59"/>
      <c r="S65" s="59"/>
      <c r="T65" s="59"/>
      <c r="U65" s="59"/>
      <c r="V65" s="59"/>
      <c r="W65" s="59"/>
      <c r="X65" s="59"/>
      <c r="Y65" s="59"/>
      <c r="Z65" s="59"/>
      <c r="AA65" s="59"/>
      <c r="AB65" s="59"/>
      <c r="AC65" s="59"/>
      <c r="AD65" s="59"/>
      <c r="AE65" s="59"/>
      <c r="AF65" s="59"/>
      <c r="AG65" s="59"/>
      <c r="AH65" s="59"/>
      <c r="AI65" s="59"/>
      <c r="AJ65" s="59"/>
      <c r="AK65" s="59"/>
      <c r="AL65" s="59"/>
      <c r="AM65" s="59"/>
      <c r="AN65" s="59"/>
      <c r="AO65" s="58"/>
      <c r="AP65" s="58"/>
    </row>
    <row r="66" spans="2:42" ht="7.5" customHeight="1" thickBot="1" x14ac:dyDescent="0.3">
      <c r="B66" s="2"/>
      <c r="C66" s="2"/>
      <c r="D66" s="461"/>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8"/>
      <c r="AP66" s="58"/>
    </row>
    <row r="67" spans="2:42" ht="17.25" customHeight="1" thickBot="1" x14ac:dyDescent="0.3">
      <c r="B67" s="462" t="s">
        <v>746</v>
      </c>
      <c r="C67" s="472"/>
      <c r="D67" s="472"/>
      <c r="E67" s="279">
        <f ca="1">D67+E55-E65</f>
        <v>0</v>
      </c>
      <c r="F67" s="279">
        <f ca="1">E67+F55-F65</f>
        <v>0</v>
      </c>
      <c r="G67" s="279">
        <f ca="1">F67+G55-G65</f>
        <v>0</v>
      </c>
      <c r="H67" s="279">
        <f ca="1">G67+H55-H65</f>
        <v>0</v>
      </c>
      <c r="I67" s="279">
        <f t="shared" ref="I67:P67" ca="1" si="13">H67+I55-I65</f>
        <v>0</v>
      </c>
      <c r="J67" s="279">
        <f t="shared" ca="1" si="13"/>
        <v>0</v>
      </c>
      <c r="K67" s="279">
        <f t="shared" ca="1" si="13"/>
        <v>0</v>
      </c>
      <c r="L67" s="279">
        <f t="shared" ca="1" si="13"/>
        <v>0</v>
      </c>
      <c r="M67" s="279">
        <f t="shared" ca="1" si="13"/>
        <v>0</v>
      </c>
      <c r="N67" s="279">
        <f t="shared" ca="1" si="13"/>
        <v>0</v>
      </c>
      <c r="O67" s="279">
        <f t="shared" ca="1" si="13"/>
        <v>0</v>
      </c>
      <c r="P67" s="456">
        <f t="shared" ca="1" si="13"/>
        <v>0</v>
      </c>
      <c r="Q67" s="58"/>
      <c r="R67" s="58"/>
      <c r="S67" s="58"/>
      <c r="T67" s="58"/>
      <c r="U67" s="58"/>
      <c r="V67" s="58"/>
      <c r="W67" s="58"/>
      <c r="X67" s="58"/>
      <c r="Y67" s="58"/>
      <c r="Z67" s="58"/>
      <c r="AA67" s="58"/>
      <c r="AB67" s="58"/>
      <c r="AC67" s="58"/>
      <c r="AD67" s="58"/>
      <c r="AE67" s="58"/>
      <c r="AF67" s="58"/>
      <c r="AG67" s="58"/>
      <c r="AH67" s="58"/>
      <c r="AI67" s="58"/>
      <c r="AJ67" s="58"/>
      <c r="AK67" s="58"/>
      <c r="AL67" s="58"/>
      <c r="AM67" s="58"/>
      <c r="AN67" s="58"/>
    </row>
    <row r="68" spans="2:42" x14ac:dyDescent="0.2">
      <c r="E68" s="58"/>
      <c r="F68" s="58"/>
      <c r="G68" s="58"/>
      <c r="H68" s="58"/>
      <c r="I68" s="58"/>
      <c r="J68" s="58"/>
      <c r="K68" s="58"/>
      <c r="L68" s="58"/>
      <c r="M68" s="58"/>
      <c r="N68" s="58"/>
      <c r="O68" s="58"/>
      <c r="P68" s="58"/>
      <c r="Q68" s="58"/>
    </row>
    <row r="69" spans="2:42" x14ac:dyDescent="0.2">
      <c r="E69" s="58"/>
      <c r="F69" s="58"/>
      <c r="G69" s="58"/>
      <c r="H69" s="58"/>
      <c r="I69" s="58"/>
      <c r="J69" s="58"/>
      <c r="K69" s="58"/>
      <c r="L69" s="58"/>
      <c r="M69" s="58"/>
      <c r="N69" s="58"/>
      <c r="O69" s="58"/>
      <c r="P69" s="58"/>
      <c r="Q69" s="58"/>
    </row>
    <row r="70" spans="2:42" ht="15.75" x14ac:dyDescent="0.25">
      <c r="B70" s="138" t="s">
        <v>732</v>
      </c>
      <c r="C70" s="138"/>
      <c r="E70" s="495" t="s">
        <v>468</v>
      </c>
      <c r="F70" s="58"/>
      <c r="G70" s="58"/>
      <c r="H70" s="58"/>
      <c r="I70" s="58"/>
      <c r="J70" s="58"/>
      <c r="K70" s="58"/>
      <c r="L70" s="58"/>
      <c r="M70" s="58"/>
      <c r="N70" s="58"/>
      <c r="O70" s="58"/>
      <c r="P70" s="58"/>
      <c r="Q70" s="58"/>
    </row>
    <row r="71" spans="2:42" ht="5.25" customHeight="1" x14ac:dyDescent="0.2">
      <c r="E71" s="58"/>
      <c r="F71" s="58"/>
      <c r="G71" s="58"/>
      <c r="H71" s="58"/>
      <c r="I71" s="58"/>
      <c r="J71" s="58"/>
      <c r="K71" s="58"/>
      <c r="L71" s="58"/>
      <c r="M71" s="58"/>
      <c r="N71" s="58"/>
      <c r="O71" s="58"/>
      <c r="P71" s="58"/>
      <c r="Q71" s="58"/>
    </row>
    <row r="72" spans="2:42" ht="15.75" thickBot="1" x14ac:dyDescent="0.3">
      <c r="B72" s="41"/>
      <c r="C72" s="41"/>
      <c r="D72" s="298"/>
      <c r="E72" s="488" t="s">
        <v>296</v>
      </c>
      <c r="F72" s="488" t="s">
        <v>297</v>
      </c>
      <c r="G72" s="488" t="s">
        <v>298</v>
      </c>
      <c r="H72" s="488" t="s">
        <v>120</v>
      </c>
      <c r="I72" s="488" t="s">
        <v>121</v>
      </c>
      <c r="J72" s="488" t="s">
        <v>122</v>
      </c>
      <c r="K72" s="488" t="s">
        <v>123</v>
      </c>
      <c r="L72" s="488" t="s">
        <v>299</v>
      </c>
      <c r="M72" s="488" t="s">
        <v>300</v>
      </c>
      <c r="N72" s="488" t="s">
        <v>301</v>
      </c>
      <c r="O72" s="488" t="s">
        <v>302</v>
      </c>
      <c r="P72" s="488" t="s">
        <v>303</v>
      </c>
      <c r="Q72" s="488" t="s">
        <v>743</v>
      </c>
    </row>
    <row r="73" spans="2:42" ht="16.5" thickBot="1" x14ac:dyDescent="0.3">
      <c r="B73" s="468" t="s">
        <v>744</v>
      </c>
      <c r="C73" s="469"/>
      <c r="D73" s="469"/>
      <c r="E73" s="470">
        <f>'Presupuesto de ventas'!D86</f>
        <v>0</v>
      </c>
      <c r="F73" s="470">
        <f>'Presupuesto de ventas'!E86</f>
        <v>0</v>
      </c>
      <c r="G73" s="470">
        <f>'Presupuesto de ventas'!F86</f>
        <v>0</v>
      </c>
      <c r="H73" s="470">
        <f>'Presupuesto de ventas'!G86</f>
        <v>0</v>
      </c>
      <c r="I73" s="470">
        <f>'Presupuesto de ventas'!H86</f>
        <v>0</v>
      </c>
      <c r="J73" s="470">
        <f>'Presupuesto de ventas'!I86</f>
        <v>0</v>
      </c>
      <c r="K73" s="470">
        <f>'Presupuesto de ventas'!J86</f>
        <v>0</v>
      </c>
      <c r="L73" s="470">
        <f>'Presupuesto de ventas'!K86</f>
        <v>0</v>
      </c>
      <c r="M73" s="470">
        <f>'Presupuesto de ventas'!L86</f>
        <v>0</v>
      </c>
      <c r="N73" s="470">
        <f>'Presupuesto de ventas'!M86</f>
        <v>0</v>
      </c>
      <c r="O73" s="470">
        <f>'Presupuesto de ventas'!N86</f>
        <v>0</v>
      </c>
      <c r="P73" s="470">
        <f>'Presupuesto de ventas'!O86</f>
        <v>0</v>
      </c>
      <c r="Q73" s="471">
        <f>SUM(E73:P73)</f>
        <v>0</v>
      </c>
    </row>
    <row r="74" spans="2:42" ht="15.75" x14ac:dyDescent="0.25">
      <c r="B74" s="2" t="s">
        <v>708</v>
      </c>
      <c r="C74" s="2"/>
      <c r="D74" s="2"/>
      <c r="E74" s="59">
        <f>E73*'Datos generales'!$D$22</f>
        <v>0</v>
      </c>
      <c r="F74" s="59">
        <f>F73*'Datos generales'!$D$22</f>
        <v>0</v>
      </c>
      <c r="G74" s="59">
        <f>G73*'Datos generales'!$D$22</f>
        <v>0</v>
      </c>
      <c r="H74" s="59">
        <f>H73*'Datos generales'!$D$22</f>
        <v>0</v>
      </c>
      <c r="I74" s="59">
        <f>I73*'Datos generales'!$D$22</f>
        <v>0</v>
      </c>
      <c r="J74" s="59">
        <f>J73*'Datos generales'!$D$22</f>
        <v>0</v>
      </c>
      <c r="K74" s="59">
        <f>K73*'Datos generales'!$D$22</f>
        <v>0</v>
      </c>
      <c r="L74" s="59">
        <f>L73*'Datos generales'!$D$22</f>
        <v>0</v>
      </c>
      <c r="M74" s="59">
        <f>M73*'Datos generales'!$D$22</f>
        <v>0</v>
      </c>
      <c r="N74" s="59">
        <f>N73*'Datos generales'!$D$22</f>
        <v>0</v>
      </c>
      <c r="O74" s="59">
        <f>O73*'Datos generales'!$D$22</f>
        <v>0</v>
      </c>
      <c r="P74" s="59">
        <f>P73*'Datos generales'!$D$22</f>
        <v>0</v>
      </c>
      <c r="Q74" s="59">
        <f>SUM(E74:P74)</f>
        <v>0</v>
      </c>
    </row>
    <row r="75" spans="2:42" ht="15.75" x14ac:dyDescent="0.25">
      <c r="B75" s="2" t="s">
        <v>745</v>
      </c>
      <c r="C75" s="2"/>
      <c r="D75" s="2"/>
      <c r="E75" s="59">
        <f t="shared" ref="E75:P75" si="14">SUM(E73:E74)</f>
        <v>0</v>
      </c>
      <c r="F75" s="59">
        <f t="shared" si="14"/>
        <v>0</v>
      </c>
      <c r="G75" s="59">
        <f t="shared" si="14"/>
        <v>0</v>
      </c>
      <c r="H75" s="59">
        <f t="shared" si="14"/>
        <v>0</v>
      </c>
      <c r="I75" s="59">
        <f t="shared" si="14"/>
        <v>0</v>
      </c>
      <c r="J75" s="59">
        <f t="shared" si="14"/>
        <v>0</v>
      </c>
      <c r="K75" s="59">
        <f t="shared" si="14"/>
        <v>0</v>
      </c>
      <c r="L75" s="59">
        <f t="shared" si="14"/>
        <v>0</v>
      </c>
      <c r="M75" s="59">
        <f t="shared" si="14"/>
        <v>0</v>
      </c>
      <c r="N75" s="59">
        <f t="shared" si="14"/>
        <v>0</v>
      </c>
      <c r="O75" s="59">
        <f t="shared" si="14"/>
        <v>0</v>
      </c>
      <c r="P75" s="59">
        <f t="shared" si="14"/>
        <v>0</v>
      </c>
      <c r="Q75" s="59">
        <f>SUM(E75:P75)</f>
        <v>0</v>
      </c>
    </row>
    <row r="76" spans="2:42" ht="24" customHeight="1" x14ac:dyDescent="0.2">
      <c r="B76" s="464" t="s">
        <v>157</v>
      </c>
      <c r="C76" s="464"/>
      <c r="D76" s="696" t="s">
        <v>158</v>
      </c>
      <c r="E76" s="42"/>
      <c r="F76" s="42"/>
      <c r="G76" s="42"/>
      <c r="H76" s="42"/>
      <c r="I76" s="42"/>
      <c r="J76" s="42"/>
      <c r="K76" s="42"/>
      <c r="L76" s="42"/>
      <c r="M76" s="42"/>
      <c r="N76" s="42"/>
      <c r="O76" s="42"/>
      <c r="P76" s="42"/>
      <c r="Q76" s="58"/>
    </row>
    <row r="77" spans="2:42" x14ac:dyDescent="0.2">
      <c r="B77" s="41" t="str">
        <f>B57</f>
        <v>Contado</v>
      </c>
      <c r="C77" s="41"/>
      <c r="D77" s="461">
        <f t="shared" ref="D77:D84" si="15">D57</f>
        <v>0.25</v>
      </c>
      <c r="E77" s="36">
        <f t="shared" ref="E77:P77" ca="1" si="16">IF($C77&gt;=E$1,IF($C77&gt;12+D$1,0,OFFSET($Q$55,0,-$C77+D$1)*$D77),OFFSET(E$75,0,-$C77)*$D77)</f>
        <v>0</v>
      </c>
      <c r="F77" s="36">
        <f t="shared" ca="1" si="16"/>
        <v>0</v>
      </c>
      <c r="G77" s="36">
        <f t="shared" ca="1" si="16"/>
        <v>0</v>
      </c>
      <c r="H77" s="36">
        <f t="shared" ca="1" si="16"/>
        <v>0</v>
      </c>
      <c r="I77" s="36">
        <f t="shared" ca="1" si="16"/>
        <v>0</v>
      </c>
      <c r="J77" s="36">
        <f t="shared" ca="1" si="16"/>
        <v>0</v>
      </c>
      <c r="K77" s="36">
        <f t="shared" ca="1" si="16"/>
        <v>0</v>
      </c>
      <c r="L77" s="36">
        <f t="shared" ca="1" si="16"/>
        <v>0</v>
      </c>
      <c r="M77" s="36">
        <f t="shared" ca="1" si="16"/>
        <v>0</v>
      </c>
      <c r="N77" s="36">
        <f t="shared" ca="1" si="16"/>
        <v>0</v>
      </c>
      <c r="O77" s="36">
        <f t="shared" ca="1" si="16"/>
        <v>0</v>
      </c>
      <c r="P77" s="36">
        <f t="shared" ca="1" si="16"/>
        <v>0</v>
      </c>
      <c r="Q77" s="491">
        <f t="shared" ref="Q77:Q84" ca="1" si="17">SUM(E77:P77)</f>
        <v>0</v>
      </c>
      <c r="R77" s="42"/>
    </row>
    <row r="78" spans="2:42" x14ac:dyDescent="0.2">
      <c r="B78" t="s">
        <v>736</v>
      </c>
      <c r="C78" s="41">
        <f t="shared" ref="C78:C84" si="18">C58</f>
        <v>1</v>
      </c>
      <c r="D78" s="461">
        <f t="shared" si="15"/>
        <v>0.25</v>
      </c>
      <c r="E78" s="36">
        <f t="shared" ref="E78:P78" ca="1" si="19">IF($C78&gt;=E$1,IF($C78&gt;12+D$1,0,OFFSET($Q$55,0,-$C78+D$1)*$D78),OFFSET(E$75,0,-$C78)*$D78)</f>
        <v>0</v>
      </c>
      <c r="F78" s="36">
        <f t="shared" ca="1" si="19"/>
        <v>0</v>
      </c>
      <c r="G78" s="36">
        <f t="shared" ca="1" si="19"/>
        <v>0</v>
      </c>
      <c r="H78" s="36">
        <f t="shared" ca="1" si="19"/>
        <v>0</v>
      </c>
      <c r="I78" s="36">
        <f t="shared" ca="1" si="19"/>
        <v>0</v>
      </c>
      <c r="J78" s="36">
        <f t="shared" ca="1" si="19"/>
        <v>0</v>
      </c>
      <c r="K78" s="36">
        <f t="shared" ca="1" si="19"/>
        <v>0</v>
      </c>
      <c r="L78" s="36">
        <f t="shared" ca="1" si="19"/>
        <v>0</v>
      </c>
      <c r="M78" s="36">
        <f t="shared" ca="1" si="19"/>
        <v>0</v>
      </c>
      <c r="N78" s="36">
        <f t="shared" ca="1" si="19"/>
        <v>0</v>
      </c>
      <c r="O78" s="36">
        <f t="shared" ca="1" si="19"/>
        <v>0</v>
      </c>
      <c r="P78" s="36">
        <f t="shared" ca="1" si="19"/>
        <v>0</v>
      </c>
      <c r="Q78" s="376">
        <f t="shared" ca="1" si="17"/>
        <v>0</v>
      </c>
      <c r="R78" s="42"/>
    </row>
    <row r="79" spans="2:42" x14ac:dyDescent="0.2">
      <c r="B79" t="s">
        <v>736</v>
      </c>
      <c r="C79" s="41">
        <f t="shared" si="18"/>
        <v>2</v>
      </c>
      <c r="D79" s="461">
        <f t="shared" si="15"/>
        <v>0.25</v>
      </c>
      <c r="E79" s="36">
        <f t="shared" ref="E79:P79" ca="1" si="20">IF($C79&gt;=E$1,IF($C79&gt;12+D$1,0,OFFSET($Q$55,0,-$C79+D$1)*$D79),OFFSET(E$75,0,-$C79)*$D79)</f>
        <v>0</v>
      </c>
      <c r="F79" s="36">
        <f t="shared" ca="1" si="20"/>
        <v>0</v>
      </c>
      <c r="G79" s="36">
        <f t="shared" ca="1" si="20"/>
        <v>0</v>
      </c>
      <c r="H79" s="36">
        <f t="shared" ca="1" si="20"/>
        <v>0</v>
      </c>
      <c r="I79" s="36">
        <f t="shared" ca="1" si="20"/>
        <v>0</v>
      </c>
      <c r="J79" s="36">
        <f t="shared" ca="1" si="20"/>
        <v>0</v>
      </c>
      <c r="K79" s="36">
        <f t="shared" ca="1" si="20"/>
        <v>0</v>
      </c>
      <c r="L79" s="36">
        <f t="shared" ca="1" si="20"/>
        <v>0</v>
      </c>
      <c r="M79" s="36">
        <f t="shared" ca="1" si="20"/>
        <v>0</v>
      </c>
      <c r="N79" s="36">
        <f t="shared" ca="1" si="20"/>
        <v>0</v>
      </c>
      <c r="O79" s="36">
        <f t="shared" ca="1" si="20"/>
        <v>0</v>
      </c>
      <c r="P79" s="36">
        <f t="shared" ca="1" si="20"/>
        <v>0</v>
      </c>
      <c r="Q79" s="376">
        <f t="shared" ca="1" si="17"/>
        <v>0</v>
      </c>
      <c r="R79" s="42"/>
    </row>
    <row r="80" spans="2:42" x14ac:dyDescent="0.2">
      <c r="B80" t="s">
        <v>736</v>
      </c>
      <c r="C80" s="41">
        <f t="shared" si="18"/>
        <v>3</v>
      </c>
      <c r="D80" s="461">
        <f t="shared" si="15"/>
        <v>0.25</v>
      </c>
      <c r="E80" s="36">
        <f t="shared" ref="E80:P80" ca="1" si="21">IF($C80&gt;=E$1,IF($C80&gt;12+D$1,0,OFFSET($Q$55,0,-$C80+D$1)*$D80),OFFSET(E$75,0,-$C80)*$D80)</f>
        <v>0</v>
      </c>
      <c r="F80" s="36">
        <f t="shared" ca="1" si="21"/>
        <v>0</v>
      </c>
      <c r="G80" s="36">
        <f t="shared" ca="1" si="21"/>
        <v>0</v>
      </c>
      <c r="H80" s="36">
        <f t="shared" ca="1" si="21"/>
        <v>0</v>
      </c>
      <c r="I80" s="36">
        <f t="shared" ca="1" si="21"/>
        <v>0</v>
      </c>
      <c r="J80" s="36">
        <f t="shared" ca="1" si="21"/>
        <v>0</v>
      </c>
      <c r="K80" s="36">
        <f t="shared" ca="1" si="21"/>
        <v>0</v>
      </c>
      <c r="L80" s="36">
        <f t="shared" ca="1" si="21"/>
        <v>0</v>
      </c>
      <c r="M80" s="36">
        <f t="shared" ca="1" si="21"/>
        <v>0</v>
      </c>
      <c r="N80" s="36">
        <f t="shared" ca="1" si="21"/>
        <v>0</v>
      </c>
      <c r="O80" s="36">
        <f t="shared" ca="1" si="21"/>
        <v>0</v>
      </c>
      <c r="P80" s="36">
        <f t="shared" ca="1" si="21"/>
        <v>0</v>
      </c>
      <c r="Q80" s="376">
        <f t="shared" ca="1" si="17"/>
        <v>0</v>
      </c>
      <c r="R80" s="42"/>
    </row>
    <row r="81" spans="2:18" x14ac:dyDescent="0.2">
      <c r="B81" t="s">
        <v>736</v>
      </c>
      <c r="C81" s="41">
        <f t="shared" si="18"/>
        <v>0</v>
      </c>
      <c r="D81" s="461">
        <f t="shared" si="15"/>
        <v>0</v>
      </c>
      <c r="E81" s="36">
        <f t="shared" ref="E81:P81" ca="1" si="22">IF($C81&gt;=E$1,IF($C81&gt;12+D$1,0,OFFSET($Q$55,0,-$C81+D$1)*$D81),OFFSET(E$75,0,-$C81)*$D81)</f>
        <v>0</v>
      </c>
      <c r="F81" s="36">
        <f t="shared" ca="1" si="22"/>
        <v>0</v>
      </c>
      <c r="G81" s="36">
        <f t="shared" ca="1" si="22"/>
        <v>0</v>
      </c>
      <c r="H81" s="36">
        <f t="shared" ca="1" si="22"/>
        <v>0</v>
      </c>
      <c r="I81" s="36">
        <f t="shared" ca="1" si="22"/>
        <v>0</v>
      </c>
      <c r="J81" s="36">
        <f t="shared" ca="1" si="22"/>
        <v>0</v>
      </c>
      <c r="K81" s="36">
        <f t="shared" ca="1" si="22"/>
        <v>0</v>
      </c>
      <c r="L81" s="36">
        <f t="shared" ca="1" si="22"/>
        <v>0</v>
      </c>
      <c r="M81" s="36">
        <f t="shared" ca="1" si="22"/>
        <v>0</v>
      </c>
      <c r="N81" s="36">
        <f t="shared" ca="1" si="22"/>
        <v>0</v>
      </c>
      <c r="O81" s="36">
        <f t="shared" ca="1" si="22"/>
        <v>0</v>
      </c>
      <c r="P81" s="36">
        <f t="shared" ca="1" si="22"/>
        <v>0</v>
      </c>
      <c r="Q81" s="376">
        <f t="shared" ca="1" si="17"/>
        <v>0</v>
      </c>
      <c r="R81" s="42"/>
    </row>
    <row r="82" spans="2:18" x14ac:dyDescent="0.2">
      <c r="B82" t="s">
        <v>736</v>
      </c>
      <c r="C82" s="41">
        <f t="shared" si="18"/>
        <v>0</v>
      </c>
      <c r="D82" s="461">
        <f t="shared" si="15"/>
        <v>0</v>
      </c>
      <c r="E82" s="36">
        <f t="shared" ref="E82:P82" ca="1" si="23">IF($C82&gt;=E$1,IF($C82&gt;12+D$1,0,OFFSET($Q$55,0,-$C82+D$1)*$D82),OFFSET(E$75,0,-$C82)*$D82)</f>
        <v>0</v>
      </c>
      <c r="F82" s="36">
        <f t="shared" ca="1" si="23"/>
        <v>0</v>
      </c>
      <c r="G82" s="36">
        <f t="shared" ca="1" si="23"/>
        <v>0</v>
      </c>
      <c r="H82" s="36">
        <f t="shared" ca="1" si="23"/>
        <v>0</v>
      </c>
      <c r="I82" s="36">
        <f t="shared" ca="1" si="23"/>
        <v>0</v>
      </c>
      <c r="J82" s="36">
        <f t="shared" ca="1" si="23"/>
        <v>0</v>
      </c>
      <c r="K82" s="36">
        <f t="shared" ca="1" si="23"/>
        <v>0</v>
      </c>
      <c r="L82" s="36">
        <f t="shared" ca="1" si="23"/>
        <v>0</v>
      </c>
      <c r="M82" s="36">
        <f t="shared" ca="1" si="23"/>
        <v>0</v>
      </c>
      <c r="N82" s="36">
        <f t="shared" ca="1" si="23"/>
        <v>0</v>
      </c>
      <c r="O82" s="36">
        <f t="shared" ca="1" si="23"/>
        <v>0</v>
      </c>
      <c r="P82" s="36">
        <f t="shared" ca="1" si="23"/>
        <v>0</v>
      </c>
      <c r="Q82" s="376">
        <f t="shared" ca="1" si="17"/>
        <v>0</v>
      </c>
      <c r="R82" s="42"/>
    </row>
    <row r="83" spans="2:18" x14ac:dyDescent="0.2">
      <c r="B83" t="s">
        <v>736</v>
      </c>
      <c r="C83" s="41">
        <f t="shared" si="18"/>
        <v>0</v>
      </c>
      <c r="D83" s="461">
        <f t="shared" si="15"/>
        <v>0</v>
      </c>
      <c r="E83" s="36">
        <f t="shared" ref="E83:P83" ca="1" si="24">IF($C83&gt;=E$1,IF($C83&gt;12+D$1,0,OFFSET($Q$55,0,-$C83+D$1)*$D83),OFFSET(E$75,0,-$C83)*$D83)</f>
        <v>0</v>
      </c>
      <c r="F83" s="36">
        <f t="shared" ca="1" si="24"/>
        <v>0</v>
      </c>
      <c r="G83" s="36">
        <f t="shared" ca="1" si="24"/>
        <v>0</v>
      </c>
      <c r="H83" s="36">
        <f t="shared" ca="1" si="24"/>
        <v>0</v>
      </c>
      <c r="I83" s="36">
        <f t="shared" ca="1" si="24"/>
        <v>0</v>
      </c>
      <c r="J83" s="36">
        <f t="shared" ca="1" si="24"/>
        <v>0</v>
      </c>
      <c r="K83" s="36">
        <f t="shared" ca="1" si="24"/>
        <v>0</v>
      </c>
      <c r="L83" s="36">
        <f t="shared" ca="1" si="24"/>
        <v>0</v>
      </c>
      <c r="M83" s="36">
        <f t="shared" ca="1" si="24"/>
        <v>0</v>
      </c>
      <c r="N83" s="36">
        <f t="shared" ca="1" si="24"/>
        <v>0</v>
      </c>
      <c r="O83" s="36">
        <f t="shared" ca="1" si="24"/>
        <v>0</v>
      </c>
      <c r="P83" s="36">
        <f t="shared" ca="1" si="24"/>
        <v>0</v>
      </c>
      <c r="Q83" s="376">
        <f t="shared" ca="1" si="17"/>
        <v>0</v>
      </c>
      <c r="R83" s="42"/>
    </row>
    <row r="84" spans="2:18" ht="13.5" thickBot="1" x14ac:dyDescent="0.25">
      <c r="B84" t="s">
        <v>736</v>
      </c>
      <c r="C84" s="41">
        <f t="shared" si="18"/>
        <v>0</v>
      </c>
      <c r="D84" s="461">
        <f t="shared" si="15"/>
        <v>0</v>
      </c>
      <c r="E84" s="36">
        <f t="shared" ref="E84:P84" ca="1" si="25">IF($C84&gt;=E$1,IF($C84&gt;12+D$1,0,OFFSET($Q$55,0,-$C84+D$1)*$D84),OFFSET(E$75,0,-$C84)*$D84)</f>
        <v>0</v>
      </c>
      <c r="F84" s="36">
        <f t="shared" ca="1" si="25"/>
        <v>0</v>
      </c>
      <c r="G84" s="36">
        <f t="shared" ca="1" si="25"/>
        <v>0</v>
      </c>
      <c r="H84" s="36">
        <f t="shared" ca="1" si="25"/>
        <v>0</v>
      </c>
      <c r="I84" s="36">
        <f t="shared" ca="1" si="25"/>
        <v>0</v>
      </c>
      <c r="J84" s="36">
        <f t="shared" ca="1" si="25"/>
        <v>0</v>
      </c>
      <c r="K84" s="36">
        <f t="shared" ca="1" si="25"/>
        <v>0</v>
      </c>
      <c r="L84" s="36">
        <f t="shared" ca="1" si="25"/>
        <v>0</v>
      </c>
      <c r="M84" s="36">
        <f t="shared" ca="1" si="25"/>
        <v>0</v>
      </c>
      <c r="N84" s="36">
        <f t="shared" ca="1" si="25"/>
        <v>0</v>
      </c>
      <c r="O84" s="36">
        <f t="shared" ca="1" si="25"/>
        <v>0</v>
      </c>
      <c r="P84" s="36">
        <f t="shared" ca="1" si="25"/>
        <v>0</v>
      </c>
      <c r="Q84" s="492">
        <f t="shared" ca="1" si="17"/>
        <v>0</v>
      </c>
      <c r="R84" s="42"/>
    </row>
    <row r="85" spans="2:18" ht="16.5" thickBot="1" x14ac:dyDescent="0.3">
      <c r="B85" s="462" t="str">
        <f>B65</f>
        <v>Total cobrado:</v>
      </c>
      <c r="C85" s="472"/>
      <c r="D85" s="489"/>
      <c r="E85" s="279">
        <f t="shared" ref="E85:Q85" ca="1" si="26">SUM(E77:E84)</f>
        <v>0</v>
      </c>
      <c r="F85" s="279">
        <f t="shared" ca="1" si="26"/>
        <v>0</v>
      </c>
      <c r="G85" s="279">
        <f t="shared" ca="1" si="26"/>
        <v>0</v>
      </c>
      <c r="H85" s="279">
        <f t="shared" ca="1" si="26"/>
        <v>0</v>
      </c>
      <c r="I85" s="279">
        <f t="shared" ca="1" si="26"/>
        <v>0</v>
      </c>
      <c r="J85" s="279">
        <f t="shared" ca="1" si="26"/>
        <v>0</v>
      </c>
      <c r="K85" s="279">
        <f t="shared" ca="1" si="26"/>
        <v>0</v>
      </c>
      <c r="L85" s="279">
        <f t="shared" ca="1" si="26"/>
        <v>0</v>
      </c>
      <c r="M85" s="279">
        <f t="shared" ca="1" si="26"/>
        <v>0</v>
      </c>
      <c r="N85" s="279">
        <f t="shared" ca="1" si="26"/>
        <v>0</v>
      </c>
      <c r="O85" s="279">
        <f t="shared" ca="1" si="26"/>
        <v>0</v>
      </c>
      <c r="P85" s="279">
        <f t="shared" ca="1" si="26"/>
        <v>0</v>
      </c>
      <c r="Q85" s="456">
        <f t="shared" ca="1" si="26"/>
        <v>0</v>
      </c>
    </row>
    <row r="86" spans="2:18" ht="6.75" customHeight="1" thickBot="1" x14ac:dyDescent="0.3">
      <c r="B86" s="2"/>
      <c r="C86" s="2"/>
      <c r="D86" s="461"/>
      <c r="E86" s="59"/>
      <c r="F86" s="59"/>
      <c r="G86" s="59"/>
      <c r="H86" s="59"/>
      <c r="I86" s="59"/>
      <c r="J86" s="59"/>
      <c r="K86" s="59"/>
      <c r="L86" s="59"/>
      <c r="M86" s="59"/>
      <c r="N86" s="59"/>
      <c r="O86" s="59"/>
      <c r="P86" s="59"/>
      <c r="Q86" s="59"/>
    </row>
    <row r="87" spans="2:18" ht="16.5" thickBot="1" x14ac:dyDescent="0.3">
      <c r="B87" s="462" t="s">
        <v>746</v>
      </c>
      <c r="C87" s="472"/>
      <c r="D87" s="472"/>
      <c r="E87" s="279">
        <f ca="1">P67+E75-E85</f>
        <v>0</v>
      </c>
      <c r="F87" s="279">
        <f ca="1">E87+F75-F85</f>
        <v>0</v>
      </c>
      <c r="G87" s="279">
        <f t="shared" ref="G87:P87" ca="1" si="27">F87+G75-G85</f>
        <v>0</v>
      </c>
      <c r="H87" s="279">
        <f t="shared" ca="1" si="27"/>
        <v>0</v>
      </c>
      <c r="I87" s="279">
        <f t="shared" ca="1" si="27"/>
        <v>0</v>
      </c>
      <c r="J87" s="279">
        <f t="shared" ca="1" si="27"/>
        <v>0</v>
      </c>
      <c r="K87" s="279">
        <f t="shared" ca="1" si="27"/>
        <v>0</v>
      </c>
      <c r="L87" s="279">
        <f t="shared" ca="1" si="27"/>
        <v>0</v>
      </c>
      <c r="M87" s="279">
        <f t="shared" ca="1" si="27"/>
        <v>0</v>
      </c>
      <c r="N87" s="279">
        <f t="shared" ca="1" si="27"/>
        <v>0</v>
      </c>
      <c r="O87" s="279">
        <f t="shared" ca="1" si="27"/>
        <v>0</v>
      </c>
      <c r="P87" s="456">
        <f t="shared" ca="1" si="27"/>
        <v>0</v>
      </c>
      <c r="Q87" s="58"/>
    </row>
    <row r="88" spans="2:18" x14ac:dyDescent="0.2">
      <c r="E88" s="58"/>
      <c r="F88" s="58"/>
      <c r="G88" s="58"/>
      <c r="H88" s="58"/>
      <c r="I88" s="58"/>
      <c r="J88" s="58"/>
      <c r="K88" s="58"/>
      <c r="L88" s="58"/>
      <c r="M88" s="58"/>
      <c r="N88" s="58"/>
      <c r="O88" s="58"/>
      <c r="P88" s="58"/>
      <c r="Q88" s="58"/>
    </row>
    <row r="89" spans="2:18" x14ac:dyDescent="0.2">
      <c r="E89" s="58"/>
      <c r="F89" s="58"/>
      <c r="G89" s="58"/>
      <c r="H89" s="58"/>
      <c r="I89" s="58"/>
      <c r="J89" s="58"/>
      <c r="K89" s="58"/>
      <c r="L89" s="58"/>
      <c r="M89" s="58"/>
      <c r="N89" s="58"/>
      <c r="O89" s="58"/>
      <c r="P89" s="58"/>
      <c r="Q89" s="58"/>
    </row>
    <row r="90" spans="2:18" ht="15.75" x14ac:dyDescent="0.25">
      <c r="B90" s="138" t="s">
        <v>732</v>
      </c>
      <c r="C90" s="138"/>
      <c r="E90" s="495" t="s">
        <v>469</v>
      </c>
      <c r="F90" s="58"/>
      <c r="G90" s="58"/>
      <c r="H90" s="58"/>
      <c r="I90" s="58"/>
      <c r="J90" s="58"/>
      <c r="K90" s="58"/>
      <c r="L90" s="58"/>
      <c r="M90" s="58"/>
      <c r="N90" s="58"/>
      <c r="O90" s="58"/>
      <c r="P90" s="58"/>
      <c r="Q90" s="58"/>
    </row>
    <row r="91" spans="2:18" ht="7.5" customHeight="1" x14ac:dyDescent="0.2">
      <c r="E91" s="58"/>
      <c r="F91" s="58"/>
      <c r="G91" s="58"/>
      <c r="H91" s="58"/>
      <c r="I91" s="58"/>
      <c r="J91" s="58"/>
      <c r="K91" s="58"/>
      <c r="L91" s="58"/>
      <c r="M91" s="58"/>
      <c r="N91" s="58"/>
      <c r="O91" s="58"/>
      <c r="P91" s="58"/>
      <c r="Q91" s="58"/>
    </row>
    <row r="92" spans="2:18" ht="15.75" thickBot="1" x14ac:dyDescent="0.3">
      <c r="B92" s="41"/>
      <c r="C92" s="41"/>
      <c r="D92" s="298"/>
      <c r="E92" s="488" t="s">
        <v>296</v>
      </c>
      <c r="F92" s="488" t="s">
        <v>297</v>
      </c>
      <c r="G92" s="488" t="s">
        <v>298</v>
      </c>
      <c r="H92" s="488" t="s">
        <v>120</v>
      </c>
      <c r="I92" s="488" t="s">
        <v>121</v>
      </c>
      <c r="J92" s="488" t="s">
        <v>122</v>
      </c>
      <c r="K92" s="488" t="s">
        <v>123</v>
      </c>
      <c r="L92" s="488" t="s">
        <v>299</v>
      </c>
      <c r="M92" s="488" t="s">
        <v>300</v>
      </c>
      <c r="N92" s="488" t="s">
        <v>301</v>
      </c>
      <c r="O92" s="488" t="s">
        <v>302</v>
      </c>
      <c r="P92" s="488" t="s">
        <v>303</v>
      </c>
      <c r="Q92" s="488" t="s">
        <v>743</v>
      </c>
    </row>
    <row r="93" spans="2:18" ht="16.5" thickBot="1" x14ac:dyDescent="0.3">
      <c r="B93" s="468" t="s">
        <v>744</v>
      </c>
      <c r="C93" s="469"/>
      <c r="D93" s="469"/>
      <c r="E93" s="470">
        <f>'Presupuesto de ventas'!D112</f>
        <v>0</v>
      </c>
      <c r="F93" s="470">
        <f>'Presupuesto de ventas'!E112</f>
        <v>0</v>
      </c>
      <c r="G93" s="470">
        <f>'Presupuesto de ventas'!F112</f>
        <v>0</v>
      </c>
      <c r="H93" s="470">
        <f>'Presupuesto de ventas'!G112</f>
        <v>0</v>
      </c>
      <c r="I93" s="470">
        <f>'Presupuesto de ventas'!H112</f>
        <v>0</v>
      </c>
      <c r="J93" s="470">
        <f>'Presupuesto de ventas'!I112</f>
        <v>0</v>
      </c>
      <c r="K93" s="470">
        <f>'Presupuesto de ventas'!J112</f>
        <v>0</v>
      </c>
      <c r="L93" s="470">
        <f>'Presupuesto de ventas'!K112</f>
        <v>0</v>
      </c>
      <c r="M93" s="470">
        <f>'Presupuesto de ventas'!L112</f>
        <v>0</v>
      </c>
      <c r="N93" s="470">
        <f>'Presupuesto de ventas'!M112</f>
        <v>0</v>
      </c>
      <c r="O93" s="470">
        <f>'Presupuesto de ventas'!N112</f>
        <v>0</v>
      </c>
      <c r="P93" s="470">
        <f>'Presupuesto de ventas'!O112</f>
        <v>0</v>
      </c>
      <c r="Q93" s="471">
        <f>SUM(E93:P93)</f>
        <v>0</v>
      </c>
      <c r="R93" s="58"/>
    </row>
    <row r="94" spans="2:18" ht="15.75" x14ac:dyDescent="0.25">
      <c r="B94" s="2" t="s">
        <v>708</v>
      </c>
      <c r="C94" s="2"/>
      <c r="D94" s="2"/>
      <c r="E94" s="59">
        <f>E93*'Datos generales'!$D$22</f>
        <v>0</v>
      </c>
      <c r="F94" s="59">
        <f>F93*'Datos generales'!$D$22</f>
        <v>0</v>
      </c>
      <c r="G94" s="59">
        <f>G93*'Datos generales'!$D$22</f>
        <v>0</v>
      </c>
      <c r="H94" s="59">
        <f>H93*'Datos generales'!$D$22</f>
        <v>0</v>
      </c>
      <c r="I94" s="59">
        <f>I93*'Datos generales'!$D$22</f>
        <v>0</v>
      </c>
      <c r="J94" s="59">
        <f>J93*'Datos generales'!$D$22</f>
        <v>0</v>
      </c>
      <c r="K94" s="59">
        <f>K93*'Datos generales'!$D$22</f>
        <v>0</v>
      </c>
      <c r="L94" s="59">
        <f>L93*'Datos generales'!$D$22</f>
        <v>0</v>
      </c>
      <c r="M94" s="59">
        <f>M93*'Datos generales'!$D$22</f>
        <v>0</v>
      </c>
      <c r="N94" s="59">
        <f>N93*'Datos generales'!$D$22</f>
        <v>0</v>
      </c>
      <c r="O94" s="59">
        <f>O93*'Datos generales'!$D$22</f>
        <v>0</v>
      </c>
      <c r="P94" s="59">
        <f>P93*'Datos generales'!$D$22</f>
        <v>0</v>
      </c>
      <c r="Q94" s="59">
        <f>SUM(E94:P94)</f>
        <v>0</v>
      </c>
      <c r="R94" s="58"/>
    </row>
    <row r="95" spans="2:18" ht="15.75" x14ac:dyDescent="0.25">
      <c r="B95" s="2" t="s">
        <v>745</v>
      </c>
      <c r="C95" s="2"/>
      <c r="D95" s="2"/>
      <c r="E95" s="59">
        <f t="shared" ref="E95:P95" si="28">SUM(E93:E94)</f>
        <v>0</v>
      </c>
      <c r="F95" s="59">
        <f t="shared" si="28"/>
        <v>0</v>
      </c>
      <c r="G95" s="59">
        <f t="shared" si="28"/>
        <v>0</v>
      </c>
      <c r="H95" s="59">
        <f t="shared" si="28"/>
        <v>0</v>
      </c>
      <c r="I95" s="59">
        <f t="shared" si="28"/>
        <v>0</v>
      </c>
      <c r="J95" s="59">
        <f t="shared" si="28"/>
        <v>0</v>
      </c>
      <c r="K95" s="59">
        <f t="shared" si="28"/>
        <v>0</v>
      </c>
      <c r="L95" s="59">
        <f t="shared" si="28"/>
        <v>0</v>
      </c>
      <c r="M95" s="59">
        <f t="shared" si="28"/>
        <v>0</v>
      </c>
      <c r="N95" s="59">
        <f t="shared" si="28"/>
        <v>0</v>
      </c>
      <c r="O95" s="59">
        <f t="shared" si="28"/>
        <v>0</v>
      </c>
      <c r="P95" s="59">
        <f t="shared" si="28"/>
        <v>0</v>
      </c>
      <c r="Q95" s="59">
        <f>SUM(E95:P95)</f>
        <v>0</v>
      </c>
      <c r="R95" s="58"/>
    </row>
    <row r="96" spans="2:18" ht="21.75" customHeight="1" x14ac:dyDescent="0.2">
      <c r="B96" s="464" t="s">
        <v>157</v>
      </c>
      <c r="C96" s="464"/>
      <c r="D96" s="696" t="s">
        <v>158</v>
      </c>
      <c r="E96" s="42"/>
      <c r="F96" s="42"/>
      <c r="G96" s="42"/>
      <c r="H96" s="42"/>
      <c r="I96" s="42"/>
      <c r="J96" s="42"/>
      <c r="K96" s="42"/>
      <c r="L96" s="42"/>
      <c r="M96" s="42"/>
      <c r="N96" s="42"/>
      <c r="O96" s="42"/>
      <c r="P96" s="42"/>
      <c r="Q96" s="58"/>
      <c r="R96" s="58"/>
    </row>
    <row r="97" spans="2:18" x14ac:dyDescent="0.2">
      <c r="B97" s="41" t="str">
        <f>B77</f>
        <v>Contado</v>
      </c>
      <c r="C97" s="41"/>
      <c r="D97" s="461">
        <f>D77</f>
        <v>0.25</v>
      </c>
      <c r="E97" s="356">
        <f>+E95*$D$15</f>
        <v>0</v>
      </c>
      <c r="F97" s="356">
        <f t="shared" ref="F97:P97" si="29">+F95*$D$15</f>
        <v>0</v>
      </c>
      <c r="G97" s="356">
        <f t="shared" si="29"/>
        <v>0</v>
      </c>
      <c r="H97" s="356">
        <f t="shared" si="29"/>
        <v>0</v>
      </c>
      <c r="I97" s="356">
        <f t="shared" si="29"/>
        <v>0</v>
      </c>
      <c r="J97" s="356">
        <f t="shared" si="29"/>
        <v>0</v>
      </c>
      <c r="K97" s="356">
        <f t="shared" si="29"/>
        <v>0</v>
      </c>
      <c r="L97" s="356">
        <f t="shared" si="29"/>
        <v>0</v>
      </c>
      <c r="M97" s="356">
        <f t="shared" si="29"/>
        <v>0</v>
      </c>
      <c r="N97" s="356">
        <f t="shared" si="29"/>
        <v>0</v>
      </c>
      <c r="O97" s="356">
        <f t="shared" si="29"/>
        <v>0</v>
      </c>
      <c r="P97" s="356">
        <f t="shared" si="29"/>
        <v>0</v>
      </c>
      <c r="Q97" s="491">
        <f t="shared" ref="Q97:Q104" si="30">SUM(E97:P97)</f>
        <v>0</v>
      </c>
      <c r="R97" s="42"/>
    </row>
    <row r="98" spans="2:18" x14ac:dyDescent="0.2">
      <c r="B98" t="s">
        <v>736</v>
      </c>
      <c r="C98" s="41">
        <f>'Previsión de negocio'!D255</f>
        <v>1</v>
      </c>
      <c r="D98" s="461">
        <f t="shared" ref="D98:D104" si="31">D78</f>
        <v>0.25</v>
      </c>
      <c r="E98" s="36">
        <f t="shared" ref="E98:P98" ca="1" si="32">IF($C98&gt;=E$1,IF($C98&gt;12+D$1,IF($C98&gt;24+D$1,0,OFFSET($Q$55,0,-$C98+12+D$1)*$D98),OFFSET($Q$75,0,-$C98+D$1)*$D98),OFFSET(E$95,0,-$C98)*$D98)</f>
        <v>0</v>
      </c>
      <c r="F98" s="36">
        <f t="shared" ca="1" si="32"/>
        <v>0</v>
      </c>
      <c r="G98" s="36">
        <f t="shared" ca="1" si="32"/>
        <v>0</v>
      </c>
      <c r="H98" s="36">
        <f t="shared" ca="1" si="32"/>
        <v>0</v>
      </c>
      <c r="I98" s="36">
        <f t="shared" ca="1" si="32"/>
        <v>0</v>
      </c>
      <c r="J98" s="36">
        <f t="shared" ca="1" si="32"/>
        <v>0</v>
      </c>
      <c r="K98" s="36">
        <f t="shared" ca="1" si="32"/>
        <v>0</v>
      </c>
      <c r="L98" s="36">
        <f t="shared" ca="1" si="32"/>
        <v>0</v>
      </c>
      <c r="M98" s="36">
        <f t="shared" ca="1" si="32"/>
        <v>0</v>
      </c>
      <c r="N98" s="36">
        <f t="shared" ca="1" si="32"/>
        <v>0</v>
      </c>
      <c r="O98" s="36">
        <f t="shared" ca="1" si="32"/>
        <v>0</v>
      </c>
      <c r="P98" s="36">
        <f t="shared" ca="1" si="32"/>
        <v>0</v>
      </c>
      <c r="Q98" s="376">
        <f t="shared" ca="1" si="30"/>
        <v>0</v>
      </c>
      <c r="R98" s="42"/>
    </row>
    <row r="99" spans="2:18" x14ac:dyDescent="0.2">
      <c r="B99" t="s">
        <v>736</v>
      </c>
      <c r="C99" s="41">
        <f>'Previsión de negocio'!D256</f>
        <v>2</v>
      </c>
      <c r="D99" s="461">
        <f t="shared" si="31"/>
        <v>0.25</v>
      </c>
      <c r="E99" s="36">
        <f t="shared" ref="E99:P99" ca="1" si="33">IF($C99&gt;=E$1,IF($C99&gt;12+D$1,IF($C99&gt;24+D$1,0,OFFSET($Q$55,0,-$C99+12+D$1)*$D99),OFFSET($Q$75,0,-$C99+D$1)*$D99),OFFSET(E$95,0,-$C99)*$D99)</f>
        <v>0</v>
      </c>
      <c r="F99" s="36">
        <f t="shared" ca="1" si="33"/>
        <v>0</v>
      </c>
      <c r="G99" s="36">
        <f t="shared" ca="1" si="33"/>
        <v>0</v>
      </c>
      <c r="H99" s="36">
        <f t="shared" ca="1" si="33"/>
        <v>0</v>
      </c>
      <c r="I99" s="36">
        <f t="shared" ca="1" si="33"/>
        <v>0</v>
      </c>
      <c r="J99" s="36">
        <f t="shared" ca="1" si="33"/>
        <v>0</v>
      </c>
      <c r="K99" s="36">
        <f t="shared" ca="1" si="33"/>
        <v>0</v>
      </c>
      <c r="L99" s="36">
        <f t="shared" ca="1" si="33"/>
        <v>0</v>
      </c>
      <c r="M99" s="36">
        <f t="shared" ca="1" si="33"/>
        <v>0</v>
      </c>
      <c r="N99" s="36">
        <f t="shared" ca="1" si="33"/>
        <v>0</v>
      </c>
      <c r="O99" s="36">
        <f t="shared" ca="1" si="33"/>
        <v>0</v>
      </c>
      <c r="P99" s="36">
        <f t="shared" ca="1" si="33"/>
        <v>0</v>
      </c>
      <c r="Q99" s="376">
        <f t="shared" ca="1" si="30"/>
        <v>0</v>
      </c>
      <c r="R99" s="42"/>
    </row>
    <row r="100" spans="2:18" x14ac:dyDescent="0.2">
      <c r="B100" t="s">
        <v>736</v>
      </c>
      <c r="C100" s="41">
        <f>'Previsión de negocio'!D257</f>
        <v>3</v>
      </c>
      <c r="D100" s="461">
        <f t="shared" si="31"/>
        <v>0.25</v>
      </c>
      <c r="E100" s="36">
        <f t="shared" ref="E100:P100" ca="1" si="34">IF($C100&gt;=E$1,IF($C100&gt;12+D$1,IF($C100&gt;24+D$1,0,OFFSET($Q$55,0,-$C100+12+D$1)*$D100),OFFSET($Q$75,0,-$C100+D$1)*$D100),OFFSET(E$95,0,-$C100)*$D100)</f>
        <v>0</v>
      </c>
      <c r="F100" s="36">
        <f t="shared" ca="1" si="34"/>
        <v>0</v>
      </c>
      <c r="G100" s="36">
        <f t="shared" ca="1" si="34"/>
        <v>0</v>
      </c>
      <c r="H100" s="36">
        <f t="shared" ca="1" si="34"/>
        <v>0</v>
      </c>
      <c r="I100" s="36">
        <f t="shared" ca="1" si="34"/>
        <v>0</v>
      </c>
      <c r="J100" s="36">
        <f t="shared" ca="1" si="34"/>
        <v>0</v>
      </c>
      <c r="K100" s="36">
        <f t="shared" ca="1" si="34"/>
        <v>0</v>
      </c>
      <c r="L100" s="36">
        <f t="shared" ca="1" si="34"/>
        <v>0</v>
      </c>
      <c r="M100" s="36">
        <f t="shared" ca="1" si="34"/>
        <v>0</v>
      </c>
      <c r="N100" s="36">
        <f t="shared" ca="1" si="34"/>
        <v>0</v>
      </c>
      <c r="O100" s="36">
        <f t="shared" ca="1" si="34"/>
        <v>0</v>
      </c>
      <c r="P100" s="36">
        <f t="shared" ca="1" si="34"/>
        <v>0</v>
      </c>
      <c r="Q100" s="376">
        <f t="shared" ca="1" si="30"/>
        <v>0</v>
      </c>
      <c r="R100" s="42"/>
    </row>
    <row r="101" spans="2:18" x14ac:dyDescent="0.2">
      <c r="B101" t="s">
        <v>736</v>
      </c>
      <c r="C101" s="41">
        <f>'Previsión de negocio'!D258</f>
        <v>0</v>
      </c>
      <c r="D101" s="461">
        <f t="shared" si="31"/>
        <v>0</v>
      </c>
      <c r="E101" s="36">
        <f t="shared" ref="E101:P101" ca="1" si="35">IF($C101&gt;=E$1,IF($C101&gt;12+D$1,IF($C101&gt;24+D$1,0,OFFSET($Q$55,0,-$C101+12+D$1)*$D101),OFFSET($Q$75,0,-$C101+D$1)*$D101),OFFSET(E$95,0,-$C101)*$D101)</f>
        <v>0</v>
      </c>
      <c r="F101" s="36">
        <f t="shared" ca="1" si="35"/>
        <v>0</v>
      </c>
      <c r="G101" s="36">
        <f t="shared" ca="1" si="35"/>
        <v>0</v>
      </c>
      <c r="H101" s="36">
        <f t="shared" ca="1" si="35"/>
        <v>0</v>
      </c>
      <c r="I101" s="36">
        <f t="shared" ca="1" si="35"/>
        <v>0</v>
      </c>
      <c r="J101" s="36">
        <f t="shared" ca="1" si="35"/>
        <v>0</v>
      </c>
      <c r="K101" s="36">
        <f t="shared" ca="1" si="35"/>
        <v>0</v>
      </c>
      <c r="L101" s="36">
        <f t="shared" ca="1" si="35"/>
        <v>0</v>
      </c>
      <c r="M101" s="36">
        <f t="shared" ca="1" si="35"/>
        <v>0</v>
      </c>
      <c r="N101" s="36">
        <f t="shared" ca="1" si="35"/>
        <v>0</v>
      </c>
      <c r="O101" s="36">
        <f t="shared" ca="1" si="35"/>
        <v>0</v>
      </c>
      <c r="P101" s="36">
        <f t="shared" ca="1" si="35"/>
        <v>0</v>
      </c>
      <c r="Q101" s="376">
        <f t="shared" ca="1" si="30"/>
        <v>0</v>
      </c>
      <c r="R101" s="42"/>
    </row>
    <row r="102" spans="2:18" x14ac:dyDescent="0.2">
      <c r="B102" t="s">
        <v>736</v>
      </c>
      <c r="C102" s="41">
        <f>'Previsión de negocio'!D259</f>
        <v>0</v>
      </c>
      <c r="D102" s="461">
        <f t="shared" si="31"/>
        <v>0</v>
      </c>
      <c r="E102" s="36">
        <f t="shared" ref="E102:P102" ca="1" si="36">IF($C102&gt;=E$1,IF($C102&gt;12+D$1,IF($C102&gt;24+D$1,0,OFFSET($Q$55,0,-$C102+12+D$1)*$D102),OFFSET($Q$75,0,-$C102+D$1)*$D102),OFFSET(E$95,0,-$C102)*$D102)</f>
        <v>0</v>
      </c>
      <c r="F102" s="36">
        <f t="shared" ca="1" si="36"/>
        <v>0</v>
      </c>
      <c r="G102" s="36">
        <f t="shared" ca="1" si="36"/>
        <v>0</v>
      </c>
      <c r="H102" s="36">
        <f t="shared" ca="1" si="36"/>
        <v>0</v>
      </c>
      <c r="I102" s="36">
        <f t="shared" ca="1" si="36"/>
        <v>0</v>
      </c>
      <c r="J102" s="36">
        <f t="shared" ca="1" si="36"/>
        <v>0</v>
      </c>
      <c r="K102" s="36">
        <f t="shared" ca="1" si="36"/>
        <v>0</v>
      </c>
      <c r="L102" s="36">
        <f t="shared" ca="1" si="36"/>
        <v>0</v>
      </c>
      <c r="M102" s="36">
        <f t="shared" ca="1" si="36"/>
        <v>0</v>
      </c>
      <c r="N102" s="36">
        <f t="shared" ca="1" si="36"/>
        <v>0</v>
      </c>
      <c r="O102" s="36">
        <f t="shared" ca="1" si="36"/>
        <v>0</v>
      </c>
      <c r="P102" s="36">
        <f t="shared" ca="1" si="36"/>
        <v>0</v>
      </c>
      <c r="Q102" s="376">
        <f t="shared" ca="1" si="30"/>
        <v>0</v>
      </c>
      <c r="R102" s="42"/>
    </row>
    <row r="103" spans="2:18" x14ac:dyDescent="0.2">
      <c r="B103" t="s">
        <v>736</v>
      </c>
      <c r="C103" s="41">
        <f>'Previsión de negocio'!D260</f>
        <v>0</v>
      </c>
      <c r="D103" s="461">
        <f t="shared" si="31"/>
        <v>0</v>
      </c>
      <c r="E103" s="36">
        <f t="shared" ref="E103:P103" ca="1" si="37">IF($C103&gt;=E$1,IF($C103&gt;12+D$1,IF($C103&gt;24+D$1,0,OFFSET($Q$55,0,-$C103+12+D$1)*$D103),OFFSET($Q$75,0,-$C103+D$1)*$D103),OFFSET(E$95,0,-$C103)*$D103)</f>
        <v>0</v>
      </c>
      <c r="F103" s="36">
        <f t="shared" ca="1" si="37"/>
        <v>0</v>
      </c>
      <c r="G103" s="36">
        <f t="shared" ca="1" si="37"/>
        <v>0</v>
      </c>
      <c r="H103" s="36">
        <f t="shared" ca="1" si="37"/>
        <v>0</v>
      </c>
      <c r="I103" s="36">
        <f t="shared" ca="1" si="37"/>
        <v>0</v>
      </c>
      <c r="J103" s="36">
        <f t="shared" ca="1" si="37"/>
        <v>0</v>
      </c>
      <c r="K103" s="36">
        <f t="shared" ca="1" si="37"/>
        <v>0</v>
      </c>
      <c r="L103" s="36">
        <f t="shared" ca="1" si="37"/>
        <v>0</v>
      </c>
      <c r="M103" s="36">
        <f t="shared" ca="1" si="37"/>
        <v>0</v>
      </c>
      <c r="N103" s="36">
        <f t="shared" ca="1" si="37"/>
        <v>0</v>
      </c>
      <c r="O103" s="36">
        <f t="shared" ca="1" si="37"/>
        <v>0</v>
      </c>
      <c r="P103" s="36">
        <f t="shared" ca="1" si="37"/>
        <v>0</v>
      </c>
      <c r="Q103" s="376">
        <f t="shared" ca="1" si="30"/>
        <v>0</v>
      </c>
      <c r="R103" s="42"/>
    </row>
    <row r="104" spans="2:18" ht="13.5" thickBot="1" x14ac:dyDescent="0.25">
      <c r="B104" t="s">
        <v>736</v>
      </c>
      <c r="C104" s="41">
        <f>'Previsión de negocio'!D261</f>
        <v>0</v>
      </c>
      <c r="D104" s="461">
        <f t="shared" si="31"/>
        <v>0</v>
      </c>
      <c r="E104" s="36">
        <f t="shared" ref="E104:P104" ca="1" si="38">IF($C104&gt;=E$1,IF($C104&gt;12+D$1,IF($C104&gt;24+D$1,0,OFFSET($Q$55,0,-$C104+12+D$1)*$D104),OFFSET($Q$75,0,-$C104+D$1)*$D104),OFFSET(E$95,0,-$C104)*$D104)</f>
        <v>0</v>
      </c>
      <c r="F104" s="36">
        <f t="shared" ca="1" si="38"/>
        <v>0</v>
      </c>
      <c r="G104" s="36">
        <f t="shared" ca="1" si="38"/>
        <v>0</v>
      </c>
      <c r="H104" s="36">
        <f t="shared" ca="1" si="38"/>
        <v>0</v>
      </c>
      <c r="I104" s="36">
        <f t="shared" ca="1" si="38"/>
        <v>0</v>
      </c>
      <c r="J104" s="36">
        <f t="shared" ca="1" si="38"/>
        <v>0</v>
      </c>
      <c r="K104" s="36">
        <f t="shared" ca="1" si="38"/>
        <v>0</v>
      </c>
      <c r="L104" s="36">
        <f t="shared" ca="1" si="38"/>
        <v>0</v>
      </c>
      <c r="M104" s="36">
        <f t="shared" ca="1" si="38"/>
        <v>0</v>
      </c>
      <c r="N104" s="36">
        <f t="shared" ca="1" si="38"/>
        <v>0</v>
      </c>
      <c r="O104" s="36">
        <f t="shared" ca="1" si="38"/>
        <v>0</v>
      </c>
      <c r="P104" s="36">
        <f t="shared" ca="1" si="38"/>
        <v>0</v>
      </c>
      <c r="Q104" s="492">
        <f t="shared" ca="1" si="30"/>
        <v>0</v>
      </c>
      <c r="R104" s="42"/>
    </row>
    <row r="105" spans="2:18" ht="16.5" thickBot="1" x14ac:dyDescent="0.3">
      <c r="B105" s="462" t="str">
        <f>B85</f>
        <v>Total cobrado:</v>
      </c>
      <c r="C105" s="472"/>
      <c r="D105" s="489"/>
      <c r="E105" s="279">
        <f ca="1">SUM(E97:E104)</f>
        <v>0</v>
      </c>
      <c r="F105" s="279">
        <f t="shared" ref="F105:Q105" ca="1" si="39">SUM(F97:F104)</f>
        <v>0</v>
      </c>
      <c r="G105" s="279">
        <f t="shared" ca="1" si="39"/>
        <v>0</v>
      </c>
      <c r="H105" s="279">
        <f t="shared" ca="1" si="39"/>
        <v>0</v>
      </c>
      <c r="I105" s="279">
        <f t="shared" ca="1" si="39"/>
        <v>0</v>
      </c>
      <c r="J105" s="279">
        <f t="shared" ca="1" si="39"/>
        <v>0</v>
      </c>
      <c r="K105" s="279">
        <f t="shared" ca="1" si="39"/>
        <v>0</v>
      </c>
      <c r="L105" s="279">
        <f t="shared" ca="1" si="39"/>
        <v>0</v>
      </c>
      <c r="M105" s="279">
        <f t="shared" ca="1" si="39"/>
        <v>0</v>
      </c>
      <c r="N105" s="279">
        <f t="shared" ca="1" si="39"/>
        <v>0</v>
      </c>
      <c r="O105" s="279">
        <f t="shared" ca="1" si="39"/>
        <v>0</v>
      </c>
      <c r="P105" s="279">
        <f t="shared" ca="1" si="39"/>
        <v>0</v>
      </c>
      <c r="Q105" s="456">
        <f t="shared" ca="1" si="39"/>
        <v>0</v>
      </c>
      <c r="R105" s="58"/>
    </row>
    <row r="106" spans="2:18" ht="6.75" customHeight="1" thickBot="1" x14ac:dyDescent="0.3">
      <c r="B106" s="2"/>
      <c r="C106" s="2"/>
      <c r="D106" s="461"/>
      <c r="E106" s="59"/>
      <c r="F106" s="59"/>
      <c r="G106" s="59"/>
      <c r="H106" s="59"/>
      <c r="I106" s="59"/>
      <c r="J106" s="59"/>
      <c r="K106" s="59"/>
      <c r="L106" s="59"/>
      <c r="M106" s="59"/>
      <c r="N106" s="59"/>
      <c r="O106" s="59"/>
      <c r="P106" s="59"/>
      <c r="Q106" s="59"/>
      <c r="R106" s="58"/>
    </row>
    <row r="107" spans="2:18" ht="16.5" thickBot="1" x14ac:dyDescent="0.3">
      <c r="B107" s="462" t="s">
        <v>746</v>
      </c>
      <c r="C107" s="472"/>
      <c r="D107" s="472"/>
      <c r="E107" s="279">
        <f ca="1">P87+E95-E105</f>
        <v>0</v>
      </c>
      <c r="F107" s="279">
        <f ca="1">E107+F95-F105</f>
        <v>0</v>
      </c>
      <c r="G107" s="279">
        <f t="shared" ref="G107:P107" ca="1" si="40">F107+G95-G105</f>
        <v>0</v>
      </c>
      <c r="H107" s="279">
        <f t="shared" ca="1" si="40"/>
        <v>0</v>
      </c>
      <c r="I107" s="279">
        <f t="shared" ca="1" si="40"/>
        <v>0</v>
      </c>
      <c r="J107" s="279">
        <f t="shared" ca="1" si="40"/>
        <v>0</v>
      </c>
      <c r="K107" s="279">
        <f t="shared" ca="1" si="40"/>
        <v>0</v>
      </c>
      <c r="L107" s="279">
        <f t="shared" ca="1" si="40"/>
        <v>0</v>
      </c>
      <c r="M107" s="279">
        <f t="shared" ca="1" si="40"/>
        <v>0</v>
      </c>
      <c r="N107" s="279">
        <f t="shared" ca="1" si="40"/>
        <v>0</v>
      </c>
      <c r="O107" s="279">
        <f t="shared" ca="1" si="40"/>
        <v>0</v>
      </c>
      <c r="P107" s="456">
        <f t="shared" ca="1" si="40"/>
        <v>0</v>
      </c>
      <c r="Q107" s="58"/>
    </row>
    <row r="108" spans="2:18" x14ac:dyDescent="0.2">
      <c r="E108" s="58"/>
      <c r="F108" s="58"/>
      <c r="G108" s="58"/>
      <c r="H108" s="58"/>
      <c r="I108" s="58"/>
      <c r="J108" s="58"/>
      <c r="K108" s="58"/>
      <c r="L108" s="58"/>
      <c r="M108" s="58"/>
      <c r="N108" s="58"/>
      <c r="O108" s="58"/>
      <c r="P108" s="58"/>
      <c r="Q108" s="58"/>
    </row>
    <row r="109" spans="2:18" x14ac:dyDescent="0.2">
      <c r="E109" s="58"/>
      <c r="F109" s="58"/>
      <c r="G109" s="58"/>
      <c r="H109" s="58"/>
      <c r="I109" s="58"/>
      <c r="J109" s="58"/>
      <c r="K109" s="58"/>
      <c r="L109" s="58"/>
      <c r="M109" s="58"/>
      <c r="N109" s="58"/>
      <c r="O109" s="58"/>
      <c r="P109" s="58"/>
      <c r="Q109" s="58"/>
    </row>
    <row r="110" spans="2:18" ht="15.75" x14ac:dyDescent="0.25">
      <c r="B110" s="2"/>
      <c r="C110" s="2"/>
      <c r="D110" s="59"/>
      <c r="E110" s="42"/>
      <c r="F110" s="42"/>
      <c r="G110" s="42"/>
      <c r="H110" s="42"/>
      <c r="I110" s="42"/>
      <c r="J110" s="42"/>
      <c r="K110" s="42"/>
      <c r="L110" s="42"/>
      <c r="M110" s="42"/>
      <c r="N110" s="42"/>
      <c r="O110" s="42"/>
      <c r="P110" s="42"/>
      <c r="Q110" s="42"/>
      <c r="R110" s="4"/>
    </row>
    <row r="111" spans="2:18" x14ac:dyDescent="0.2">
      <c r="E111" s="58"/>
      <c r="F111" s="58"/>
      <c r="G111" s="58"/>
      <c r="H111" s="58"/>
      <c r="I111" s="58"/>
      <c r="J111" s="58"/>
      <c r="K111" s="58"/>
      <c r="L111" s="58"/>
      <c r="M111" s="58"/>
      <c r="N111" s="58"/>
      <c r="O111" s="58"/>
      <c r="P111" s="58"/>
      <c r="Q111" s="58"/>
    </row>
    <row r="112" spans="2:18" x14ac:dyDescent="0.2">
      <c r="E112" s="58"/>
      <c r="F112" s="58"/>
      <c r="G112" s="58"/>
      <c r="H112" s="58"/>
      <c r="I112" s="58"/>
      <c r="J112" s="58"/>
      <c r="K112" s="58"/>
      <c r="L112" s="58"/>
      <c r="M112" s="58"/>
      <c r="N112" s="58"/>
      <c r="O112" s="58"/>
      <c r="P112" s="58"/>
      <c r="Q112" s="58"/>
    </row>
    <row r="113" spans="2:18" ht="15.75" x14ac:dyDescent="0.25">
      <c r="B113" s="138" t="s">
        <v>747</v>
      </c>
      <c r="C113" s="2"/>
      <c r="D113" s="41"/>
      <c r="E113" s="495" t="s">
        <v>459</v>
      </c>
      <c r="F113" s="58"/>
      <c r="G113" s="58"/>
      <c r="H113" s="58"/>
      <c r="I113" s="58"/>
      <c r="J113" s="58"/>
      <c r="K113" s="58"/>
      <c r="L113" s="58"/>
      <c r="M113" s="58"/>
      <c r="N113" s="58"/>
      <c r="O113" s="58"/>
      <c r="P113" s="58"/>
      <c r="Q113" s="58"/>
    </row>
    <row r="114" spans="2:18" ht="15.75" x14ac:dyDescent="0.25">
      <c r="B114" s="2"/>
      <c r="C114" s="2"/>
      <c r="D114" s="41"/>
      <c r="E114" s="58"/>
      <c r="F114" s="58"/>
      <c r="G114" s="58"/>
      <c r="H114" s="58"/>
      <c r="I114" s="58"/>
      <c r="J114" s="58"/>
      <c r="K114" s="58"/>
      <c r="L114" s="58"/>
      <c r="M114" s="58"/>
      <c r="N114" s="58"/>
      <c r="O114" s="58"/>
      <c r="P114" s="58"/>
      <c r="Q114" s="58"/>
    </row>
    <row r="115" spans="2:18" ht="15.75" thickBot="1" x14ac:dyDescent="0.3">
      <c r="B115" s="41"/>
      <c r="C115" s="41"/>
      <c r="D115" s="298"/>
      <c r="E115" s="488" t="s">
        <v>296</v>
      </c>
      <c r="F115" s="488" t="s">
        <v>297</v>
      </c>
      <c r="G115" s="488" t="s">
        <v>298</v>
      </c>
      <c r="H115" s="488" t="s">
        <v>120</v>
      </c>
      <c r="I115" s="488" t="s">
        <v>121</v>
      </c>
      <c r="J115" s="488" t="s">
        <v>122</v>
      </c>
      <c r="K115" s="488" t="s">
        <v>123</v>
      </c>
      <c r="L115" s="488" t="s">
        <v>299</v>
      </c>
      <c r="M115" s="488" t="s">
        <v>300</v>
      </c>
      <c r="N115" s="488" t="s">
        <v>301</v>
      </c>
      <c r="O115" s="488" t="s">
        <v>302</v>
      </c>
      <c r="P115" s="488" t="s">
        <v>303</v>
      </c>
      <c r="Q115" s="488" t="s">
        <v>129</v>
      </c>
    </row>
    <row r="116" spans="2:18" ht="16.5" thickBot="1" x14ac:dyDescent="0.3">
      <c r="B116" s="468" t="s">
        <v>748</v>
      </c>
      <c r="C116" s="469"/>
      <c r="D116" s="469"/>
      <c r="E116" s="470">
        <f>+'Margen B'!D102</f>
        <v>0</v>
      </c>
      <c r="F116" s="470">
        <f>+'Margen B'!E102</f>
        <v>0</v>
      </c>
      <c r="G116" s="470">
        <f>+'Margen B'!F102</f>
        <v>0</v>
      </c>
      <c r="H116" s="470">
        <f>+'Margen B'!G102</f>
        <v>0</v>
      </c>
      <c r="I116" s="470">
        <f>+'Margen B'!H102</f>
        <v>0</v>
      </c>
      <c r="J116" s="470">
        <f>+'Margen B'!I102</f>
        <v>0</v>
      </c>
      <c r="K116" s="470">
        <f>+'Margen B'!J102</f>
        <v>0</v>
      </c>
      <c r="L116" s="470">
        <f>+'Margen B'!K102</f>
        <v>0</v>
      </c>
      <c r="M116" s="470">
        <f>+'Margen B'!L102</f>
        <v>0</v>
      </c>
      <c r="N116" s="470">
        <f>+'Margen B'!M102</f>
        <v>0</v>
      </c>
      <c r="O116" s="470">
        <f>+'Margen B'!N102</f>
        <v>0</v>
      </c>
      <c r="P116" s="470">
        <f>+'Margen B'!O102</f>
        <v>0</v>
      </c>
      <c r="Q116" s="471">
        <f>SUM(E116:P116)</f>
        <v>0</v>
      </c>
    </row>
    <row r="117" spans="2:18" ht="15.75" x14ac:dyDescent="0.25">
      <c r="B117" s="2" t="s">
        <v>749</v>
      </c>
      <c r="C117" s="2"/>
      <c r="D117" s="2"/>
      <c r="E117" s="59">
        <f>E116*'Datos generales'!$D$16</f>
        <v>0</v>
      </c>
      <c r="F117" s="59">
        <f>F116*'Datos generales'!$D$16</f>
        <v>0</v>
      </c>
      <c r="G117" s="59">
        <f>G116*'Datos generales'!$D$16</f>
        <v>0</v>
      </c>
      <c r="H117" s="59">
        <f>H116*'Datos generales'!$D$16</f>
        <v>0</v>
      </c>
      <c r="I117" s="59">
        <f>I116*'Datos generales'!$D$16</f>
        <v>0</v>
      </c>
      <c r="J117" s="59">
        <f>J116*'Datos generales'!$D$16</f>
        <v>0</v>
      </c>
      <c r="K117" s="59">
        <f>K116*'Datos generales'!$D$16</f>
        <v>0</v>
      </c>
      <c r="L117" s="59">
        <f>L116*'Datos generales'!$D$16</f>
        <v>0</v>
      </c>
      <c r="M117" s="59">
        <f>M116*'Datos generales'!$D$16</f>
        <v>0</v>
      </c>
      <c r="N117" s="59">
        <f>N116*'Datos generales'!$D$16</f>
        <v>0</v>
      </c>
      <c r="O117" s="59">
        <f>O116*'Datos generales'!$D$16</f>
        <v>0</v>
      </c>
      <c r="P117" s="59">
        <f>P116*'Datos generales'!$D$16</f>
        <v>0</v>
      </c>
      <c r="Q117" s="59">
        <f>SUM(E117:P117)</f>
        <v>0</v>
      </c>
    </row>
    <row r="118" spans="2:18" ht="15.75" x14ac:dyDescent="0.25">
      <c r="B118" s="2" t="s">
        <v>750</v>
      </c>
      <c r="C118" s="2"/>
      <c r="D118" s="2"/>
      <c r="E118" s="59">
        <f>SUM(E116:E117)</f>
        <v>0</v>
      </c>
      <c r="F118" s="59">
        <f t="shared" ref="F118:P118" si="41">SUM(F116:F117)</f>
        <v>0</v>
      </c>
      <c r="G118" s="59">
        <f t="shared" si="41"/>
        <v>0</v>
      </c>
      <c r="H118" s="59">
        <f t="shared" si="41"/>
        <v>0</v>
      </c>
      <c r="I118" s="59">
        <f t="shared" si="41"/>
        <v>0</v>
      </c>
      <c r="J118" s="59">
        <f t="shared" si="41"/>
        <v>0</v>
      </c>
      <c r="K118" s="59">
        <f t="shared" si="41"/>
        <v>0</v>
      </c>
      <c r="L118" s="59">
        <f t="shared" si="41"/>
        <v>0</v>
      </c>
      <c r="M118" s="59">
        <f t="shared" si="41"/>
        <v>0</v>
      </c>
      <c r="N118" s="59">
        <f t="shared" si="41"/>
        <v>0</v>
      </c>
      <c r="O118" s="59">
        <f t="shared" si="41"/>
        <v>0</v>
      </c>
      <c r="P118" s="59">
        <f t="shared" si="41"/>
        <v>0</v>
      </c>
      <c r="Q118" s="59">
        <f>SUM(E118:P118)</f>
        <v>0</v>
      </c>
    </row>
    <row r="119" spans="2:18" ht="19.5" customHeight="1" x14ac:dyDescent="0.2">
      <c r="B119" s="464" t="s">
        <v>163</v>
      </c>
      <c r="C119" s="464"/>
      <c r="D119" s="696" t="s">
        <v>158</v>
      </c>
      <c r="E119" s="42"/>
      <c r="F119" s="42"/>
      <c r="G119" s="42"/>
      <c r="H119" s="42"/>
      <c r="I119" s="42"/>
      <c r="J119" s="42"/>
      <c r="K119" s="42"/>
      <c r="L119" s="42"/>
      <c r="M119" s="42"/>
      <c r="N119" s="42"/>
      <c r="O119" s="42"/>
      <c r="P119" s="42"/>
      <c r="Q119" s="58"/>
    </row>
    <row r="120" spans="2:18" x14ac:dyDescent="0.2">
      <c r="B120" s="41" t="s">
        <v>735</v>
      </c>
      <c r="C120" s="41"/>
      <c r="D120" s="461">
        <f t="shared" ref="D120:D128" si="42">D33</f>
        <v>0.25</v>
      </c>
      <c r="E120" s="356">
        <f>+E118*$D$120</f>
        <v>0</v>
      </c>
      <c r="F120" s="356">
        <f t="shared" ref="F120:P120" si="43">+F118*$D$120</f>
        <v>0</v>
      </c>
      <c r="G120" s="356">
        <f t="shared" si="43"/>
        <v>0</v>
      </c>
      <c r="H120" s="356">
        <f t="shared" si="43"/>
        <v>0</v>
      </c>
      <c r="I120" s="356">
        <f t="shared" si="43"/>
        <v>0</v>
      </c>
      <c r="J120" s="356">
        <f t="shared" si="43"/>
        <v>0</v>
      </c>
      <c r="K120" s="356">
        <f t="shared" si="43"/>
        <v>0</v>
      </c>
      <c r="L120" s="356">
        <f t="shared" si="43"/>
        <v>0</v>
      </c>
      <c r="M120" s="356">
        <f t="shared" si="43"/>
        <v>0</v>
      </c>
      <c r="N120" s="356">
        <f t="shared" si="43"/>
        <v>0</v>
      </c>
      <c r="O120" s="356">
        <f t="shared" si="43"/>
        <v>0</v>
      </c>
      <c r="P120" s="356">
        <f t="shared" si="43"/>
        <v>0</v>
      </c>
      <c r="Q120" s="491">
        <f t="shared" ref="Q120:Q128" si="44">SUM(E120:P120)</f>
        <v>0</v>
      </c>
      <c r="R120" s="42"/>
    </row>
    <row r="121" spans="2:18" x14ac:dyDescent="0.2">
      <c r="B121" t="s">
        <v>736</v>
      </c>
      <c r="C121" s="41">
        <f>C34</f>
        <v>1</v>
      </c>
      <c r="D121" s="461">
        <f t="shared" si="42"/>
        <v>0.25</v>
      </c>
      <c r="E121" s="36">
        <f t="shared" ref="E121:P127" ca="1" si="45">IF(ISERROR(OFFSET(E$118,0,-$C121)*$D121)=TRUE,0,OFFSET(E$118,0,-$C121)*$D121)</f>
        <v>0</v>
      </c>
      <c r="F121" s="36">
        <f t="shared" ca="1" si="45"/>
        <v>0</v>
      </c>
      <c r="G121" s="36">
        <f t="shared" ca="1" si="45"/>
        <v>0</v>
      </c>
      <c r="H121" s="36">
        <f t="shared" ca="1" si="45"/>
        <v>0</v>
      </c>
      <c r="I121" s="36">
        <f t="shared" ca="1" si="45"/>
        <v>0</v>
      </c>
      <c r="J121" s="36">
        <f t="shared" ca="1" si="45"/>
        <v>0</v>
      </c>
      <c r="K121" s="36">
        <f t="shared" ca="1" si="45"/>
        <v>0</v>
      </c>
      <c r="L121" s="36">
        <f t="shared" ca="1" si="45"/>
        <v>0</v>
      </c>
      <c r="M121" s="36">
        <f t="shared" ca="1" si="45"/>
        <v>0</v>
      </c>
      <c r="N121" s="36">
        <f t="shared" ca="1" si="45"/>
        <v>0</v>
      </c>
      <c r="O121" s="36">
        <f t="shared" ca="1" si="45"/>
        <v>0</v>
      </c>
      <c r="P121" s="36">
        <f t="shared" ca="1" si="45"/>
        <v>0</v>
      </c>
      <c r="Q121" s="376">
        <f t="shared" ca="1" si="44"/>
        <v>0</v>
      </c>
      <c r="R121" s="42"/>
    </row>
    <row r="122" spans="2:18" x14ac:dyDescent="0.2">
      <c r="B122" t="s">
        <v>736</v>
      </c>
      <c r="C122" s="41">
        <f t="shared" ref="C122:C127" si="46">C35</f>
        <v>2</v>
      </c>
      <c r="D122" s="461">
        <f t="shared" si="42"/>
        <v>0.25</v>
      </c>
      <c r="E122" s="36">
        <f t="shared" ca="1" si="45"/>
        <v>0</v>
      </c>
      <c r="F122" s="36">
        <f t="shared" ca="1" si="45"/>
        <v>0</v>
      </c>
      <c r="G122" s="36">
        <f t="shared" ca="1" si="45"/>
        <v>0</v>
      </c>
      <c r="H122" s="36">
        <f t="shared" ca="1" si="45"/>
        <v>0</v>
      </c>
      <c r="I122" s="36">
        <f t="shared" ca="1" si="45"/>
        <v>0</v>
      </c>
      <c r="J122" s="36">
        <f ca="1">IF(ISERROR(OFFSET(J$118,0,-$C122)*$D122)=TRUE,0,OFFSET(J$118,0,-$C122)*$D122)</f>
        <v>0</v>
      </c>
      <c r="K122" s="36">
        <f t="shared" ca="1" si="45"/>
        <v>0</v>
      </c>
      <c r="L122" s="36">
        <f t="shared" ca="1" si="45"/>
        <v>0</v>
      </c>
      <c r="M122" s="36">
        <f t="shared" ca="1" si="45"/>
        <v>0</v>
      </c>
      <c r="N122" s="36">
        <f t="shared" ca="1" si="45"/>
        <v>0</v>
      </c>
      <c r="O122" s="36">
        <f t="shared" ca="1" si="45"/>
        <v>0</v>
      </c>
      <c r="P122" s="36">
        <f t="shared" ca="1" si="45"/>
        <v>0</v>
      </c>
      <c r="Q122" s="376">
        <f t="shared" ca="1" si="44"/>
        <v>0</v>
      </c>
      <c r="R122" s="42"/>
    </row>
    <row r="123" spans="2:18" x14ac:dyDescent="0.2">
      <c r="B123" t="s">
        <v>736</v>
      </c>
      <c r="C123" s="41">
        <f t="shared" si="46"/>
        <v>3</v>
      </c>
      <c r="D123" s="461">
        <f t="shared" si="42"/>
        <v>0.25</v>
      </c>
      <c r="E123" s="36">
        <f t="shared" ca="1" si="45"/>
        <v>0</v>
      </c>
      <c r="F123" s="36">
        <f t="shared" ca="1" si="45"/>
        <v>0</v>
      </c>
      <c r="G123" s="36">
        <f t="shared" ca="1" si="45"/>
        <v>0</v>
      </c>
      <c r="H123" s="36">
        <f t="shared" ca="1" si="45"/>
        <v>0</v>
      </c>
      <c r="I123" s="36">
        <f t="shared" ca="1" si="45"/>
        <v>0</v>
      </c>
      <c r="J123" s="36">
        <f t="shared" ca="1" si="45"/>
        <v>0</v>
      </c>
      <c r="K123" s="36">
        <f t="shared" ca="1" si="45"/>
        <v>0</v>
      </c>
      <c r="L123" s="36">
        <f t="shared" ca="1" si="45"/>
        <v>0</v>
      </c>
      <c r="M123" s="36">
        <f t="shared" ca="1" si="45"/>
        <v>0</v>
      </c>
      <c r="N123" s="36">
        <f t="shared" ca="1" si="45"/>
        <v>0</v>
      </c>
      <c r="O123" s="36">
        <f t="shared" ca="1" si="45"/>
        <v>0</v>
      </c>
      <c r="P123" s="36">
        <f t="shared" ca="1" si="45"/>
        <v>0</v>
      </c>
      <c r="Q123" s="376">
        <f t="shared" ca="1" si="44"/>
        <v>0</v>
      </c>
      <c r="R123" s="42"/>
    </row>
    <row r="124" spans="2:18" x14ac:dyDescent="0.2">
      <c r="B124" t="s">
        <v>736</v>
      </c>
      <c r="C124" s="41">
        <f t="shared" si="46"/>
        <v>0</v>
      </c>
      <c r="D124" s="461">
        <f t="shared" si="42"/>
        <v>0</v>
      </c>
      <c r="E124" s="36">
        <f t="shared" ca="1" si="45"/>
        <v>0</v>
      </c>
      <c r="F124" s="36">
        <f t="shared" ca="1" si="45"/>
        <v>0</v>
      </c>
      <c r="G124" s="36">
        <f t="shared" ca="1" si="45"/>
        <v>0</v>
      </c>
      <c r="H124" s="36">
        <f t="shared" ca="1" si="45"/>
        <v>0</v>
      </c>
      <c r="I124" s="36">
        <f t="shared" ca="1" si="45"/>
        <v>0</v>
      </c>
      <c r="J124" s="36">
        <f t="shared" ca="1" si="45"/>
        <v>0</v>
      </c>
      <c r="K124" s="36">
        <f t="shared" ca="1" si="45"/>
        <v>0</v>
      </c>
      <c r="L124" s="36">
        <f t="shared" ca="1" si="45"/>
        <v>0</v>
      </c>
      <c r="M124" s="36">
        <f t="shared" ca="1" si="45"/>
        <v>0</v>
      </c>
      <c r="N124" s="36">
        <f t="shared" ca="1" si="45"/>
        <v>0</v>
      </c>
      <c r="O124" s="36">
        <f t="shared" ca="1" si="45"/>
        <v>0</v>
      </c>
      <c r="P124" s="36">
        <f t="shared" ca="1" si="45"/>
        <v>0</v>
      </c>
      <c r="Q124" s="376">
        <f t="shared" ca="1" si="44"/>
        <v>0</v>
      </c>
      <c r="R124" s="42"/>
    </row>
    <row r="125" spans="2:18" x14ac:dyDescent="0.2">
      <c r="B125" t="s">
        <v>736</v>
      </c>
      <c r="C125" s="41">
        <f t="shared" si="46"/>
        <v>0</v>
      </c>
      <c r="D125" s="461">
        <f t="shared" si="42"/>
        <v>0</v>
      </c>
      <c r="E125" s="36">
        <f t="shared" ca="1" si="45"/>
        <v>0</v>
      </c>
      <c r="F125" s="36">
        <f t="shared" ca="1" si="45"/>
        <v>0</v>
      </c>
      <c r="G125" s="36">
        <f t="shared" ca="1" si="45"/>
        <v>0</v>
      </c>
      <c r="H125" s="36">
        <f t="shared" ca="1" si="45"/>
        <v>0</v>
      </c>
      <c r="I125" s="36">
        <f t="shared" ca="1" si="45"/>
        <v>0</v>
      </c>
      <c r="J125" s="36">
        <f t="shared" ca="1" si="45"/>
        <v>0</v>
      </c>
      <c r="K125" s="36">
        <f t="shared" ca="1" si="45"/>
        <v>0</v>
      </c>
      <c r="L125" s="36">
        <f t="shared" ca="1" si="45"/>
        <v>0</v>
      </c>
      <c r="M125" s="36">
        <f t="shared" ca="1" si="45"/>
        <v>0</v>
      </c>
      <c r="N125" s="36">
        <f t="shared" ca="1" si="45"/>
        <v>0</v>
      </c>
      <c r="O125" s="36">
        <f t="shared" ca="1" si="45"/>
        <v>0</v>
      </c>
      <c r="P125" s="36">
        <f t="shared" ca="1" si="45"/>
        <v>0</v>
      </c>
      <c r="Q125" s="376">
        <f t="shared" ca="1" si="44"/>
        <v>0</v>
      </c>
      <c r="R125" s="42"/>
    </row>
    <row r="126" spans="2:18" x14ac:dyDescent="0.2">
      <c r="B126" t="s">
        <v>736</v>
      </c>
      <c r="C126" s="41">
        <f t="shared" si="46"/>
        <v>0</v>
      </c>
      <c r="D126" s="461">
        <f t="shared" si="42"/>
        <v>0</v>
      </c>
      <c r="E126" s="36">
        <f t="shared" ca="1" si="45"/>
        <v>0</v>
      </c>
      <c r="F126" s="36">
        <f t="shared" ca="1" si="45"/>
        <v>0</v>
      </c>
      <c r="G126" s="36">
        <f t="shared" ca="1" si="45"/>
        <v>0</v>
      </c>
      <c r="H126" s="36">
        <f t="shared" ca="1" si="45"/>
        <v>0</v>
      </c>
      <c r="I126" s="36">
        <f t="shared" ca="1" si="45"/>
        <v>0</v>
      </c>
      <c r="J126" s="36">
        <f t="shared" ca="1" si="45"/>
        <v>0</v>
      </c>
      <c r="K126" s="36">
        <f t="shared" ca="1" si="45"/>
        <v>0</v>
      </c>
      <c r="L126" s="36">
        <f t="shared" ca="1" si="45"/>
        <v>0</v>
      </c>
      <c r="M126" s="36">
        <f t="shared" ca="1" si="45"/>
        <v>0</v>
      </c>
      <c r="N126" s="36">
        <f t="shared" ca="1" si="45"/>
        <v>0</v>
      </c>
      <c r="O126" s="36">
        <f t="shared" ca="1" si="45"/>
        <v>0</v>
      </c>
      <c r="P126" s="36">
        <f t="shared" ca="1" si="45"/>
        <v>0</v>
      </c>
      <c r="Q126" s="376">
        <f t="shared" ca="1" si="44"/>
        <v>0</v>
      </c>
      <c r="R126" s="42"/>
    </row>
    <row r="127" spans="2:18" ht="13.5" thickBot="1" x14ac:dyDescent="0.25">
      <c r="B127" t="s">
        <v>736</v>
      </c>
      <c r="C127" s="41">
        <f t="shared" si="46"/>
        <v>0</v>
      </c>
      <c r="D127" s="461">
        <f t="shared" si="42"/>
        <v>0</v>
      </c>
      <c r="E127" s="36">
        <f t="shared" ca="1" si="45"/>
        <v>0</v>
      </c>
      <c r="F127" s="36">
        <f t="shared" ca="1" si="45"/>
        <v>0</v>
      </c>
      <c r="G127" s="36">
        <f t="shared" ca="1" si="45"/>
        <v>0</v>
      </c>
      <c r="H127" s="36">
        <f t="shared" ca="1" si="45"/>
        <v>0</v>
      </c>
      <c r="I127" s="36">
        <f t="shared" ca="1" si="45"/>
        <v>0</v>
      </c>
      <c r="J127" s="36">
        <f t="shared" ca="1" si="45"/>
        <v>0</v>
      </c>
      <c r="K127" s="36">
        <f t="shared" ca="1" si="45"/>
        <v>0</v>
      </c>
      <c r="L127" s="36">
        <f t="shared" ca="1" si="45"/>
        <v>0</v>
      </c>
      <c r="M127" s="36">
        <f t="shared" ca="1" si="45"/>
        <v>0</v>
      </c>
      <c r="N127" s="36">
        <f t="shared" ca="1" si="45"/>
        <v>0</v>
      </c>
      <c r="O127" s="36">
        <f t="shared" ca="1" si="45"/>
        <v>0</v>
      </c>
      <c r="P127" s="36">
        <f t="shared" ca="1" si="45"/>
        <v>0</v>
      </c>
      <c r="Q127" s="492">
        <f t="shared" ca="1" si="44"/>
        <v>0</v>
      </c>
      <c r="R127" s="42"/>
    </row>
    <row r="128" spans="2:18" ht="16.5" thickBot="1" x14ac:dyDescent="0.3">
      <c r="B128" s="462" t="str">
        <f>B41</f>
        <v>Total pagado:</v>
      </c>
      <c r="C128" s="472"/>
      <c r="D128" s="489">
        <f t="shared" si="42"/>
        <v>1</v>
      </c>
      <c r="E128" s="279">
        <f ca="1">SUM(E120:E127)</f>
        <v>0</v>
      </c>
      <c r="F128" s="279">
        <f t="shared" ref="F128:P128" ca="1" si="47">SUM(F120:F127)</f>
        <v>0</v>
      </c>
      <c r="G128" s="279">
        <f t="shared" ca="1" si="47"/>
        <v>0</v>
      </c>
      <c r="H128" s="279">
        <f t="shared" ca="1" si="47"/>
        <v>0</v>
      </c>
      <c r="I128" s="279">
        <f t="shared" ca="1" si="47"/>
        <v>0</v>
      </c>
      <c r="J128" s="279">
        <f t="shared" ca="1" si="47"/>
        <v>0</v>
      </c>
      <c r="K128" s="279">
        <f t="shared" ca="1" si="47"/>
        <v>0</v>
      </c>
      <c r="L128" s="279">
        <f t="shared" ca="1" si="47"/>
        <v>0</v>
      </c>
      <c r="M128" s="279">
        <f t="shared" ca="1" si="47"/>
        <v>0</v>
      </c>
      <c r="N128" s="279">
        <f t="shared" ca="1" si="47"/>
        <v>0</v>
      </c>
      <c r="O128" s="279">
        <f t="shared" ca="1" si="47"/>
        <v>0</v>
      </c>
      <c r="P128" s="279">
        <f t="shared" ca="1" si="47"/>
        <v>0</v>
      </c>
      <c r="Q128" s="456">
        <f t="shared" ca="1" si="44"/>
        <v>0</v>
      </c>
    </row>
    <row r="129" spans="2:18" ht="23.25" customHeight="1" x14ac:dyDescent="0.25">
      <c r="B129" s="493" t="s">
        <v>740</v>
      </c>
      <c r="C129" s="494"/>
      <c r="D129" s="490">
        <f>'Entrada Inver_Finan'!D134+'Entrada Inver_Finan'!D134*'Datos generales'!D16</f>
        <v>0</v>
      </c>
      <c r="E129" s="490">
        <f ca="1">OFFSET('Otra financiación'!$K$84,D1,0,1,1)</f>
        <v>0</v>
      </c>
      <c r="F129" s="490">
        <f ca="1">OFFSET('Otra financiación'!$K$84,E1,0,1,1)</f>
        <v>0</v>
      </c>
      <c r="G129" s="490">
        <f ca="1">OFFSET('Otra financiación'!$K$84,F1,0,1,1)</f>
        <v>0</v>
      </c>
      <c r="H129" s="490">
        <f ca="1">OFFSET('Otra financiación'!$K$84,G1,0,1,1)</f>
        <v>0</v>
      </c>
      <c r="I129" s="490">
        <f ca="1">OFFSET('Otra financiación'!$K$84,H1,0,1,1)</f>
        <v>0</v>
      </c>
      <c r="J129" s="490">
        <f ca="1">OFFSET('Otra financiación'!$K$84,I1,0,1,1)</f>
        <v>0</v>
      </c>
      <c r="K129" s="490">
        <f ca="1">OFFSET('Otra financiación'!$K$84,J1,0,1,1)</f>
        <v>0</v>
      </c>
      <c r="L129" s="490">
        <f ca="1">OFFSET('Otra financiación'!$K$84,K1,0,1,1)</f>
        <v>0</v>
      </c>
      <c r="M129" s="490">
        <f ca="1">OFFSET('Otra financiación'!$K$84,L1,0,1,1)</f>
        <v>0</v>
      </c>
      <c r="N129" s="490">
        <f ca="1">OFFSET('Otra financiación'!$K$84,M1,0,1,1)</f>
        <v>0</v>
      </c>
      <c r="O129" s="490">
        <f ca="1">OFFSET('Otra financiación'!$K$84,N1,0,1,1)</f>
        <v>0</v>
      </c>
      <c r="P129" s="490">
        <f ca="1">OFFSET('Otra financiación'!$K$84,O1,0,1,1)</f>
        <v>0</v>
      </c>
      <c r="Q129" s="490"/>
      <c r="R129" s="42"/>
    </row>
    <row r="130" spans="2:18" ht="6.75" customHeight="1" thickBot="1" x14ac:dyDescent="0.3">
      <c r="B130" s="1"/>
      <c r="C130" s="2"/>
      <c r="D130" s="61"/>
      <c r="E130" s="61"/>
      <c r="F130" s="61"/>
      <c r="G130" s="61"/>
      <c r="H130" s="61"/>
      <c r="I130" s="61"/>
      <c r="J130" s="61"/>
      <c r="K130" s="61"/>
      <c r="L130" s="61"/>
      <c r="M130" s="61"/>
      <c r="N130" s="61"/>
      <c r="O130" s="61"/>
      <c r="P130" s="61"/>
      <c r="Q130" s="61"/>
      <c r="R130" s="42"/>
    </row>
    <row r="131" spans="2:18" ht="16.5" customHeight="1" thickBot="1" x14ac:dyDescent="0.3">
      <c r="B131" s="462" t="s">
        <v>751</v>
      </c>
      <c r="C131" s="472"/>
      <c r="D131" s="472"/>
      <c r="E131" s="279">
        <f ca="1">D129+E118-E128-E129</f>
        <v>0</v>
      </c>
      <c r="F131" s="279">
        <f ca="1">E131+F118-F128-F129</f>
        <v>0</v>
      </c>
      <c r="G131" s="279">
        <f t="shared" ref="G131:P131" ca="1" si="48">F131+G118-G128-G129</f>
        <v>0</v>
      </c>
      <c r="H131" s="279">
        <f t="shared" ca="1" si="48"/>
        <v>0</v>
      </c>
      <c r="I131" s="279">
        <f t="shared" ca="1" si="48"/>
        <v>0</v>
      </c>
      <c r="J131" s="279">
        <f t="shared" ca="1" si="48"/>
        <v>0</v>
      </c>
      <c r="K131" s="279">
        <f t="shared" ca="1" si="48"/>
        <v>0</v>
      </c>
      <c r="L131" s="279">
        <f t="shared" ca="1" si="48"/>
        <v>0</v>
      </c>
      <c r="M131" s="279">
        <f t="shared" ca="1" si="48"/>
        <v>0</v>
      </c>
      <c r="N131" s="279">
        <f t="shared" ca="1" si="48"/>
        <v>0</v>
      </c>
      <c r="O131" s="279">
        <f t="shared" ca="1" si="48"/>
        <v>0</v>
      </c>
      <c r="P131" s="456">
        <f t="shared" ca="1" si="48"/>
        <v>0</v>
      </c>
      <c r="Q131" s="58"/>
    </row>
    <row r="132" spans="2:18" ht="15.75" x14ac:dyDescent="0.25">
      <c r="B132" s="2"/>
      <c r="C132" s="2"/>
      <c r="D132" s="59"/>
      <c r="E132" s="58"/>
      <c r="F132" s="58"/>
      <c r="G132" s="58"/>
      <c r="H132" s="58"/>
      <c r="I132" s="58"/>
      <c r="J132" s="58"/>
      <c r="K132" s="58"/>
      <c r="L132" s="58"/>
      <c r="M132" s="58"/>
      <c r="N132" s="58"/>
      <c r="O132" s="58"/>
      <c r="P132" s="58"/>
      <c r="Q132" s="58"/>
    </row>
    <row r="133" spans="2:18" ht="15.75" x14ac:dyDescent="0.25">
      <c r="B133" s="2"/>
      <c r="C133" s="2"/>
      <c r="D133" s="59"/>
      <c r="E133" s="58"/>
      <c r="F133" s="58"/>
      <c r="G133" s="58"/>
      <c r="H133" s="58"/>
      <c r="I133" s="58"/>
      <c r="J133" s="58"/>
      <c r="K133" s="58"/>
      <c r="L133" s="58"/>
      <c r="M133" s="58"/>
      <c r="N133" s="58"/>
      <c r="O133" s="58"/>
      <c r="P133" s="58"/>
      <c r="Q133" s="58"/>
    </row>
    <row r="134" spans="2:18" ht="15.75" x14ac:dyDescent="0.25">
      <c r="B134" s="138" t="s">
        <v>747</v>
      </c>
      <c r="E134" s="495" t="s">
        <v>468</v>
      </c>
      <c r="F134" s="58"/>
      <c r="G134" s="58"/>
      <c r="H134" s="58"/>
      <c r="I134" s="58"/>
      <c r="J134" s="58"/>
      <c r="K134" s="58"/>
      <c r="L134" s="58"/>
      <c r="M134" s="58"/>
      <c r="N134" s="58"/>
      <c r="O134" s="58"/>
      <c r="P134" s="58"/>
      <c r="Q134" s="58"/>
    </row>
    <row r="135" spans="2:18" x14ac:dyDescent="0.2">
      <c r="E135" s="58"/>
      <c r="F135" s="58"/>
      <c r="G135" s="58"/>
      <c r="H135" s="58"/>
      <c r="I135" s="58"/>
      <c r="J135" s="58"/>
      <c r="K135" s="58"/>
      <c r="L135" s="58"/>
      <c r="M135" s="58"/>
      <c r="N135" s="58"/>
      <c r="O135" s="58"/>
      <c r="P135" s="58"/>
      <c r="Q135" s="58"/>
    </row>
    <row r="136" spans="2:18" ht="15.75" thickBot="1" x14ac:dyDescent="0.3">
      <c r="B136" s="41"/>
      <c r="C136" s="41"/>
      <c r="D136" s="298"/>
      <c r="E136" s="488" t="s">
        <v>296</v>
      </c>
      <c r="F136" s="488" t="s">
        <v>297</v>
      </c>
      <c r="G136" s="488" t="s">
        <v>298</v>
      </c>
      <c r="H136" s="488" t="s">
        <v>120</v>
      </c>
      <c r="I136" s="488" t="s">
        <v>121</v>
      </c>
      <c r="J136" s="488" t="s">
        <v>122</v>
      </c>
      <c r="K136" s="488" t="s">
        <v>123</v>
      </c>
      <c r="L136" s="488" t="s">
        <v>299</v>
      </c>
      <c r="M136" s="488" t="s">
        <v>300</v>
      </c>
      <c r="N136" s="488" t="s">
        <v>301</v>
      </c>
      <c r="O136" s="488" t="s">
        <v>302</v>
      </c>
      <c r="P136" s="488" t="s">
        <v>303</v>
      </c>
      <c r="Q136" s="488" t="s">
        <v>129</v>
      </c>
    </row>
    <row r="137" spans="2:18" ht="16.5" thickBot="1" x14ac:dyDescent="0.3">
      <c r="B137" s="468" t="s">
        <v>748</v>
      </c>
      <c r="C137" s="469"/>
      <c r="D137" s="469"/>
      <c r="E137" s="470">
        <f>'Margen B'!D160</f>
        <v>0</v>
      </c>
      <c r="F137" s="470">
        <f>'Margen B'!E160</f>
        <v>0</v>
      </c>
      <c r="G137" s="470">
        <f>'Margen B'!F160</f>
        <v>0</v>
      </c>
      <c r="H137" s="470">
        <f>'Margen B'!G160</f>
        <v>0</v>
      </c>
      <c r="I137" s="470">
        <f>'Margen B'!H160</f>
        <v>0</v>
      </c>
      <c r="J137" s="470">
        <f>'Margen B'!I160</f>
        <v>0</v>
      </c>
      <c r="K137" s="470">
        <f>'Margen B'!J160</f>
        <v>0</v>
      </c>
      <c r="L137" s="470">
        <f>'Margen B'!K160</f>
        <v>0</v>
      </c>
      <c r="M137" s="470">
        <f>'Margen B'!L160</f>
        <v>0</v>
      </c>
      <c r="N137" s="470">
        <f>'Margen B'!M160</f>
        <v>0</v>
      </c>
      <c r="O137" s="470">
        <f>'Margen B'!N160</f>
        <v>0</v>
      </c>
      <c r="P137" s="470">
        <f>'Margen B'!O160</f>
        <v>0</v>
      </c>
      <c r="Q137" s="471">
        <f>SUM(E137:P137)</f>
        <v>0</v>
      </c>
    </row>
    <row r="138" spans="2:18" ht="15.75" x14ac:dyDescent="0.25">
      <c r="B138" s="2" t="s">
        <v>749</v>
      </c>
      <c r="C138" s="2"/>
      <c r="D138" s="2"/>
      <c r="E138" s="59">
        <f>E137*'Datos generales'!$D$16</f>
        <v>0</v>
      </c>
      <c r="F138" s="59">
        <f>F137*'Datos generales'!$D$16</f>
        <v>0</v>
      </c>
      <c r="G138" s="59">
        <f>G137*'Datos generales'!$D$16</f>
        <v>0</v>
      </c>
      <c r="H138" s="59">
        <f>H137*'Datos generales'!$D$16</f>
        <v>0</v>
      </c>
      <c r="I138" s="59">
        <f>I137*'Datos generales'!$D$16</f>
        <v>0</v>
      </c>
      <c r="J138" s="59">
        <f>J137*'Datos generales'!$D$16</f>
        <v>0</v>
      </c>
      <c r="K138" s="59">
        <f>K137*'Datos generales'!$D$16</f>
        <v>0</v>
      </c>
      <c r="L138" s="59">
        <f>L137*'Datos generales'!$D$16</f>
        <v>0</v>
      </c>
      <c r="M138" s="59">
        <f>M137*'Datos generales'!$D$16</f>
        <v>0</v>
      </c>
      <c r="N138" s="59">
        <f>N137*'Datos generales'!$D$16</f>
        <v>0</v>
      </c>
      <c r="O138" s="59">
        <f>O137*'Datos generales'!$D$16</f>
        <v>0</v>
      </c>
      <c r="P138" s="59">
        <f>P137*'Datos generales'!$D$16</f>
        <v>0</v>
      </c>
      <c r="Q138" s="59">
        <f>SUM(E138:P138)</f>
        <v>0</v>
      </c>
    </row>
    <row r="139" spans="2:18" ht="15.75" x14ac:dyDescent="0.25">
      <c r="B139" s="2" t="s">
        <v>750</v>
      </c>
      <c r="C139" s="2"/>
      <c r="D139" s="2"/>
      <c r="E139" s="59">
        <f>SUM(E137:E138)</f>
        <v>0</v>
      </c>
      <c r="F139" s="59">
        <f t="shared" ref="F139:P139" si="49">SUM(F137:F138)</f>
        <v>0</v>
      </c>
      <c r="G139" s="59">
        <f t="shared" si="49"/>
        <v>0</v>
      </c>
      <c r="H139" s="59">
        <f t="shared" si="49"/>
        <v>0</v>
      </c>
      <c r="I139" s="59">
        <f t="shared" si="49"/>
        <v>0</v>
      </c>
      <c r="J139" s="59">
        <f t="shared" si="49"/>
        <v>0</v>
      </c>
      <c r="K139" s="59">
        <f t="shared" si="49"/>
        <v>0</v>
      </c>
      <c r="L139" s="59">
        <f t="shared" si="49"/>
        <v>0</v>
      </c>
      <c r="M139" s="59">
        <f t="shared" si="49"/>
        <v>0</v>
      </c>
      <c r="N139" s="59">
        <f t="shared" si="49"/>
        <v>0</v>
      </c>
      <c r="O139" s="59">
        <f t="shared" si="49"/>
        <v>0</v>
      </c>
      <c r="P139" s="59">
        <f t="shared" si="49"/>
        <v>0</v>
      </c>
      <c r="Q139" s="59">
        <f>SUM(E139:P139)</f>
        <v>0</v>
      </c>
    </row>
    <row r="140" spans="2:18" ht="21.75" customHeight="1" x14ac:dyDescent="0.2">
      <c r="B140" s="464" t="s">
        <v>163</v>
      </c>
      <c r="C140" s="464"/>
      <c r="D140" s="696" t="s">
        <v>158</v>
      </c>
      <c r="E140" s="42"/>
      <c r="F140" s="42"/>
      <c r="G140" s="42"/>
      <c r="H140" s="42"/>
      <c r="I140" s="42"/>
      <c r="J140" s="42"/>
      <c r="K140" s="42"/>
      <c r="L140" s="42"/>
      <c r="M140" s="42"/>
      <c r="N140" s="42"/>
      <c r="O140" s="42"/>
      <c r="P140" s="42"/>
      <c r="Q140" s="58"/>
    </row>
    <row r="141" spans="2:18" x14ac:dyDescent="0.2">
      <c r="B141" s="41" t="s">
        <v>735</v>
      </c>
      <c r="C141" s="41"/>
      <c r="D141" s="461">
        <f>D120</f>
        <v>0.25</v>
      </c>
      <c r="E141" s="356">
        <f>+E139*$D$120</f>
        <v>0</v>
      </c>
      <c r="F141" s="356">
        <f t="shared" ref="F141:P141" si="50">+F139*$D$120</f>
        <v>0</v>
      </c>
      <c r="G141" s="356">
        <f t="shared" si="50"/>
        <v>0</v>
      </c>
      <c r="H141" s="356">
        <f t="shared" si="50"/>
        <v>0</v>
      </c>
      <c r="I141" s="356">
        <f t="shared" si="50"/>
        <v>0</v>
      </c>
      <c r="J141" s="356">
        <f t="shared" si="50"/>
        <v>0</v>
      </c>
      <c r="K141" s="356">
        <f t="shared" si="50"/>
        <v>0</v>
      </c>
      <c r="L141" s="356">
        <f t="shared" si="50"/>
        <v>0</v>
      </c>
      <c r="M141" s="356">
        <f t="shared" si="50"/>
        <v>0</v>
      </c>
      <c r="N141" s="356">
        <f t="shared" si="50"/>
        <v>0</v>
      </c>
      <c r="O141" s="356">
        <f t="shared" si="50"/>
        <v>0</v>
      </c>
      <c r="P141" s="356">
        <f t="shared" si="50"/>
        <v>0</v>
      </c>
      <c r="Q141" s="491">
        <f t="shared" ref="Q141:Q148" si="51">SUM(E141:P141)</f>
        <v>0</v>
      </c>
      <c r="R141" s="42"/>
    </row>
    <row r="142" spans="2:18" x14ac:dyDescent="0.2">
      <c r="B142" t="s">
        <v>736</v>
      </c>
      <c r="C142" s="41">
        <f>C121</f>
        <v>1</v>
      </c>
      <c r="D142" s="461">
        <f t="shared" ref="D142:D149" si="52">D121</f>
        <v>0.25</v>
      </c>
      <c r="E142" s="36">
        <f t="shared" ref="E142:P142" ca="1" si="53">IF($C142&gt;=E$1,IF($C142&gt;12+D$1,0,OFFSET($Q$118,0,-$C142+D$1)*$D142),OFFSET(E$139,0,-$C142)*$D142)</f>
        <v>0</v>
      </c>
      <c r="F142" s="36">
        <f t="shared" ca="1" si="53"/>
        <v>0</v>
      </c>
      <c r="G142" s="36">
        <f t="shared" ca="1" si="53"/>
        <v>0</v>
      </c>
      <c r="H142" s="36">
        <f t="shared" ca="1" si="53"/>
        <v>0</v>
      </c>
      <c r="I142" s="36">
        <f t="shared" ca="1" si="53"/>
        <v>0</v>
      </c>
      <c r="J142" s="36">
        <f t="shared" ca="1" si="53"/>
        <v>0</v>
      </c>
      <c r="K142" s="36">
        <f t="shared" ca="1" si="53"/>
        <v>0</v>
      </c>
      <c r="L142" s="36">
        <f t="shared" ca="1" si="53"/>
        <v>0</v>
      </c>
      <c r="M142" s="36">
        <f t="shared" ca="1" si="53"/>
        <v>0</v>
      </c>
      <c r="N142" s="36">
        <f t="shared" ca="1" si="53"/>
        <v>0</v>
      </c>
      <c r="O142" s="36">
        <f t="shared" ca="1" si="53"/>
        <v>0</v>
      </c>
      <c r="P142" s="36">
        <f t="shared" ca="1" si="53"/>
        <v>0</v>
      </c>
      <c r="Q142" s="376">
        <f t="shared" ca="1" si="51"/>
        <v>0</v>
      </c>
      <c r="R142" s="42"/>
    </row>
    <row r="143" spans="2:18" x14ac:dyDescent="0.2">
      <c r="B143" t="s">
        <v>736</v>
      </c>
      <c r="C143" s="41">
        <f t="shared" ref="C143:C148" si="54">C122</f>
        <v>2</v>
      </c>
      <c r="D143" s="461">
        <f t="shared" si="52"/>
        <v>0.25</v>
      </c>
      <c r="E143" s="36">
        <f t="shared" ref="E143:P143" ca="1" si="55">IF($C143&gt;=E$1,IF($C143&gt;12+D$1,0,OFFSET($Q$118,0,-$C143+D$1)*$D143),OFFSET(E$139,0,-$C143)*$D143)</f>
        <v>0</v>
      </c>
      <c r="F143" s="36">
        <f t="shared" ca="1" si="55"/>
        <v>0</v>
      </c>
      <c r="G143" s="36">
        <f t="shared" ca="1" si="55"/>
        <v>0</v>
      </c>
      <c r="H143" s="36">
        <f t="shared" ca="1" si="55"/>
        <v>0</v>
      </c>
      <c r="I143" s="36">
        <f t="shared" ca="1" si="55"/>
        <v>0</v>
      </c>
      <c r="J143" s="36">
        <f t="shared" ca="1" si="55"/>
        <v>0</v>
      </c>
      <c r="K143" s="36">
        <f t="shared" ca="1" si="55"/>
        <v>0</v>
      </c>
      <c r="L143" s="36">
        <f t="shared" ca="1" si="55"/>
        <v>0</v>
      </c>
      <c r="M143" s="36">
        <f t="shared" ca="1" si="55"/>
        <v>0</v>
      </c>
      <c r="N143" s="36">
        <f t="shared" ca="1" si="55"/>
        <v>0</v>
      </c>
      <c r="O143" s="36">
        <f t="shared" ca="1" si="55"/>
        <v>0</v>
      </c>
      <c r="P143" s="36">
        <f t="shared" ca="1" si="55"/>
        <v>0</v>
      </c>
      <c r="Q143" s="376">
        <f t="shared" ca="1" si="51"/>
        <v>0</v>
      </c>
      <c r="R143" s="42"/>
    </row>
    <row r="144" spans="2:18" x14ac:dyDescent="0.2">
      <c r="B144" t="s">
        <v>736</v>
      </c>
      <c r="C144" s="41">
        <f t="shared" si="54"/>
        <v>3</v>
      </c>
      <c r="D144" s="461">
        <f t="shared" si="52"/>
        <v>0.25</v>
      </c>
      <c r="E144" s="36">
        <f t="shared" ref="E144:P144" ca="1" si="56">IF($C144&gt;=E$1,IF($C144&gt;12+D$1,0,OFFSET($Q$118,0,-$C144+D$1)*$D144),OFFSET(E$139,0,-$C144)*$D144)</f>
        <v>0</v>
      </c>
      <c r="F144" s="36">
        <f t="shared" ca="1" si="56"/>
        <v>0</v>
      </c>
      <c r="G144" s="36">
        <f t="shared" ca="1" si="56"/>
        <v>0</v>
      </c>
      <c r="H144" s="36">
        <f t="shared" ca="1" si="56"/>
        <v>0</v>
      </c>
      <c r="I144" s="36">
        <f t="shared" ca="1" si="56"/>
        <v>0</v>
      </c>
      <c r="J144" s="36">
        <f t="shared" ca="1" si="56"/>
        <v>0</v>
      </c>
      <c r="K144" s="36">
        <f t="shared" ca="1" si="56"/>
        <v>0</v>
      </c>
      <c r="L144" s="36">
        <f t="shared" ca="1" si="56"/>
        <v>0</v>
      </c>
      <c r="M144" s="36">
        <f t="shared" ca="1" si="56"/>
        <v>0</v>
      </c>
      <c r="N144" s="36">
        <f t="shared" ca="1" si="56"/>
        <v>0</v>
      </c>
      <c r="O144" s="36">
        <f t="shared" ca="1" si="56"/>
        <v>0</v>
      </c>
      <c r="P144" s="36">
        <f t="shared" ca="1" si="56"/>
        <v>0</v>
      </c>
      <c r="Q144" s="376">
        <f t="shared" ca="1" si="51"/>
        <v>0</v>
      </c>
      <c r="R144" s="42"/>
    </row>
    <row r="145" spans="2:18" x14ac:dyDescent="0.2">
      <c r="B145" t="s">
        <v>736</v>
      </c>
      <c r="C145" s="41">
        <f t="shared" si="54"/>
        <v>0</v>
      </c>
      <c r="D145" s="461">
        <f t="shared" si="52"/>
        <v>0</v>
      </c>
      <c r="E145" s="36">
        <f t="shared" ref="E145:P145" ca="1" si="57">IF($C145&gt;=E$1,IF($C145&gt;12+D$1,0,OFFSET($Q$118,0,-$C145+D$1)*$D145),OFFSET(E$139,0,-$C145)*$D145)</f>
        <v>0</v>
      </c>
      <c r="F145" s="36">
        <f t="shared" ca="1" si="57"/>
        <v>0</v>
      </c>
      <c r="G145" s="36">
        <f t="shared" ca="1" si="57"/>
        <v>0</v>
      </c>
      <c r="H145" s="36">
        <f t="shared" ca="1" si="57"/>
        <v>0</v>
      </c>
      <c r="I145" s="36">
        <f t="shared" ca="1" si="57"/>
        <v>0</v>
      </c>
      <c r="J145" s="36">
        <f t="shared" ca="1" si="57"/>
        <v>0</v>
      </c>
      <c r="K145" s="36">
        <f t="shared" ca="1" si="57"/>
        <v>0</v>
      </c>
      <c r="L145" s="36">
        <f t="shared" ca="1" si="57"/>
        <v>0</v>
      </c>
      <c r="M145" s="36">
        <f t="shared" ca="1" si="57"/>
        <v>0</v>
      </c>
      <c r="N145" s="36">
        <f t="shared" ca="1" si="57"/>
        <v>0</v>
      </c>
      <c r="O145" s="36">
        <f t="shared" ca="1" si="57"/>
        <v>0</v>
      </c>
      <c r="P145" s="36">
        <f t="shared" ca="1" si="57"/>
        <v>0</v>
      </c>
      <c r="Q145" s="376">
        <f t="shared" ca="1" si="51"/>
        <v>0</v>
      </c>
      <c r="R145" s="42"/>
    </row>
    <row r="146" spans="2:18" x14ac:dyDescent="0.2">
      <c r="B146" t="s">
        <v>736</v>
      </c>
      <c r="C146" s="41">
        <f t="shared" si="54"/>
        <v>0</v>
      </c>
      <c r="D146" s="461">
        <f t="shared" si="52"/>
        <v>0</v>
      </c>
      <c r="E146" s="36">
        <f t="shared" ref="E146:P146" ca="1" si="58">IF($C146&gt;=E$1,IF($C146&gt;12+D$1,0,OFFSET($Q$118,0,-$C146+D$1)*$D146),OFFSET(E$139,0,-$C146)*$D146)</f>
        <v>0</v>
      </c>
      <c r="F146" s="36">
        <f t="shared" ca="1" si="58"/>
        <v>0</v>
      </c>
      <c r="G146" s="36">
        <f t="shared" ca="1" si="58"/>
        <v>0</v>
      </c>
      <c r="H146" s="36">
        <f t="shared" ca="1" si="58"/>
        <v>0</v>
      </c>
      <c r="I146" s="36">
        <f t="shared" ca="1" si="58"/>
        <v>0</v>
      </c>
      <c r="J146" s="36">
        <f t="shared" ca="1" si="58"/>
        <v>0</v>
      </c>
      <c r="K146" s="36">
        <f t="shared" ca="1" si="58"/>
        <v>0</v>
      </c>
      <c r="L146" s="36">
        <f t="shared" ca="1" si="58"/>
        <v>0</v>
      </c>
      <c r="M146" s="36">
        <f t="shared" ca="1" si="58"/>
        <v>0</v>
      </c>
      <c r="N146" s="36">
        <f t="shared" ca="1" si="58"/>
        <v>0</v>
      </c>
      <c r="O146" s="36">
        <f t="shared" ca="1" si="58"/>
        <v>0</v>
      </c>
      <c r="P146" s="36">
        <f t="shared" ca="1" si="58"/>
        <v>0</v>
      </c>
      <c r="Q146" s="376">
        <f t="shared" ca="1" si="51"/>
        <v>0</v>
      </c>
      <c r="R146" s="42"/>
    </row>
    <row r="147" spans="2:18" x14ac:dyDescent="0.2">
      <c r="B147" t="s">
        <v>736</v>
      </c>
      <c r="C147" s="41">
        <f t="shared" si="54"/>
        <v>0</v>
      </c>
      <c r="D147" s="461">
        <f t="shared" si="52"/>
        <v>0</v>
      </c>
      <c r="E147" s="36">
        <f t="shared" ref="E147:P147" ca="1" si="59">IF($C147&gt;=E$1,IF($C147&gt;12+D$1,0,OFFSET($Q$118,0,-$C147+D$1)*$D147),OFFSET(E$139,0,-$C147)*$D147)</f>
        <v>0</v>
      </c>
      <c r="F147" s="36">
        <f t="shared" ca="1" si="59"/>
        <v>0</v>
      </c>
      <c r="G147" s="36">
        <f t="shared" ca="1" si="59"/>
        <v>0</v>
      </c>
      <c r="H147" s="36">
        <f t="shared" ca="1" si="59"/>
        <v>0</v>
      </c>
      <c r="I147" s="36">
        <f t="shared" ca="1" si="59"/>
        <v>0</v>
      </c>
      <c r="J147" s="36">
        <f t="shared" ca="1" si="59"/>
        <v>0</v>
      </c>
      <c r="K147" s="36">
        <f t="shared" ca="1" si="59"/>
        <v>0</v>
      </c>
      <c r="L147" s="36">
        <f t="shared" ca="1" si="59"/>
        <v>0</v>
      </c>
      <c r="M147" s="36">
        <f t="shared" ca="1" si="59"/>
        <v>0</v>
      </c>
      <c r="N147" s="36">
        <f t="shared" ca="1" si="59"/>
        <v>0</v>
      </c>
      <c r="O147" s="36">
        <f t="shared" ca="1" si="59"/>
        <v>0</v>
      </c>
      <c r="P147" s="36">
        <f t="shared" ca="1" si="59"/>
        <v>0</v>
      </c>
      <c r="Q147" s="376">
        <f t="shared" ca="1" si="51"/>
        <v>0</v>
      </c>
      <c r="R147" s="42"/>
    </row>
    <row r="148" spans="2:18" ht="13.5" thickBot="1" x14ac:dyDescent="0.25">
      <c r="B148" t="s">
        <v>736</v>
      </c>
      <c r="C148" s="41">
        <f t="shared" si="54"/>
        <v>0</v>
      </c>
      <c r="D148" s="461">
        <f t="shared" si="52"/>
        <v>0</v>
      </c>
      <c r="E148" s="36">
        <f t="shared" ref="E148:P148" ca="1" si="60">IF($C148&gt;=E$1,IF($C148&gt;12+D$1,0,OFFSET($Q$118,0,-$C148+D$1)*$D148),OFFSET(E$139,0,-$C148)*$D148)</f>
        <v>0</v>
      </c>
      <c r="F148" s="36">
        <f t="shared" ca="1" si="60"/>
        <v>0</v>
      </c>
      <c r="G148" s="36">
        <f t="shared" ca="1" si="60"/>
        <v>0</v>
      </c>
      <c r="H148" s="36">
        <f t="shared" ca="1" si="60"/>
        <v>0</v>
      </c>
      <c r="I148" s="36">
        <f t="shared" ca="1" si="60"/>
        <v>0</v>
      </c>
      <c r="J148" s="36">
        <f t="shared" ca="1" si="60"/>
        <v>0</v>
      </c>
      <c r="K148" s="36">
        <f t="shared" ca="1" si="60"/>
        <v>0</v>
      </c>
      <c r="L148" s="36">
        <f t="shared" ca="1" si="60"/>
        <v>0</v>
      </c>
      <c r="M148" s="36">
        <f t="shared" ca="1" si="60"/>
        <v>0</v>
      </c>
      <c r="N148" s="36">
        <f t="shared" ca="1" si="60"/>
        <v>0</v>
      </c>
      <c r="O148" s="36">
        <f t="shared" ca="1" si="60"/>
        <v>0</v>
      </c>
      <c r="P148" s="36">
        <f t="shared" ca="1" si="60"/>
        <v>0</v>
      </c>
      <c r="Q148" s="492">
        <f t="shared" ca="1" si="51"/>
        <v>0</v>
      </c>
      <c r="R148" s="42"/>
    </row>
    <row r="149" spans="2:18" ht="16.5" thickBot="1" x14ac:dyDescent="0.3">
      <c r="B149" s="462" t="str">
        <f>B128</f>
        <v>Total pagado:</v>
      </c>
      <c r="C149" s="472"/>
      <c r="D149" s="489">
        <f t="shared" si="52"/>
        <v>1</v>
      </c>
      <c r="E149" s="279">
        <f t="shared" ref="E149:Q149" ca="1" si="61">SUM(E141:E148)</f>
        <v>0</v>
      </c>
      <c r="F149" s="279">
        <f t="shared" ca="1" si="61"/>
        <v>0</v>
      </c>
      <c r="G149" s="279">
        <f t="shared" ca="1" si="61"/>
        <v>0</v>
      </c>
      <c r="H149" s="279">
        <f t="shared" ca="1" si="61"/>
        <v>0</v>
      </c>
      <c r="I149" s="279">
        <f t="shared" ca="1" si="61"/>
        <v>0</v>
      </c>
      <c r="J149" s="279">
        <f t="shared" ca="1" si="61"/>
        <v>0</v>
      </c>
      <c r="K149" s="279">
        <f t="shared" ca="1" si="61"/>
        <v>0</v>
      </c>
      <c r="L149" s="279">
        <f t="shared" ca="1" si="61"/>
        <v>0</v>
      </c>
      <c r="M149" s="279">
        <f t="shared" ca="1" si="61"/>
        <v>0</v>
      </c>
      <c r="N149" s="279">
        <f t="shared" ca="1" si="61"/>
        <v>0</v>
      </c>
      <c r="O149" s="279">
        <f t="shared" ca="1" si="61"/>
        <v>0</v>
      </c>
      <c r="P149" s="279">
        <f t="shared" ca="1" si="61"/>
        <v>0</v>
      </c>
      <c r="Q149" s="456">
        <f t="shared" ca="1" si="61"/>
        <v>0</v>
      </c>
    </row>
    <row r="150" spans="2:18" ht="18" customHeight="1" x14ac:dyDescent="0.25">
      <c r="B150" s="493" t="s">
        <v>740</v>
      </c>
      <c r="C150" s="494"/>
      <c r="D150" s="490"/>
      <c r="E150" s="490">
        <f ca="1">OFFSET('Otra financiación'!$K$96,D1,0,1,1)</f>
        <v>0</v>
      </c>
      <c r="F150" s="490">
        <f ca="1">OFFSET('Otra financiación'!$K$96,E1,0,1,1)</f>
        <v>0</v>
      </c>
      <c r="G150" s="490">
        <f ca="1">OFFSET('Otra financiación'!$K$96,F1,0,1,1)</f>
        <v>0</v>
      </c>
      <c r="H150" s="490">
        <f ca="1">OFFSET('Otra financiación'!$K$96,G1,0,1,1)</f>
        <v>0</v>
      </c>
      <c r="I150" s="490">
        <f ca="1">OFFSET('Otra financiación'!$K$96,H1,0,1,1)</f>
        <v>0</v>
      </c>
      <c r="J150" s="490">
        <f ca="1">OFFSET('Otra financiación'!$K$96,I1,0,1,1)</f>
        <v>0</v>
      </c>
      <c r="K150" s="490">
        <f ca="1">OFFSET('Otra financiación'!$K$96,J1,0,1,1)</f>
        <v>0</v>
      </c>
      <c r="L150" s="490">
        <f ca="1">OFFSET('Otra financiación'!$K$96,K1,0,1,1)</f>
        <v>0</v>
      </c>
      <c r="M150" s="490">
        <f ca="1">OFFSET('Otra financiación'!$K$96,L1,0,1,1)</f>
        <v>0</v>
      </c>
      <c r="N150" s="490">
        <f ca="1">OFFSET('Otra financiación'!$K$96,M1,0,1,1)</f>
        <v>0</v>
      </c>
      <c r="O150" s="490">
        <f ca="1">OFFSET('Otra financiación'!$K$96,N1,0,1,1)</f>
        <v>0</v>
      </c>
      <c r="P150" s="490">
        <f ca="1">OFFSET('Otra financiación'!$K$96,O1,0,1,1)</f>
        <v>0</v>
      </c>
      <c r="Q150" s="490">
        <f ca="1">SUM(E150:P150)</f>
        <v>0</v>
      </c>
      <c r="R150" s="42"/>
    </row>
    <row r="151" spans="2:18" ht="5.25" customHeight="1" thickBot="1" x14ac:dyDescent="0.3">
      <c r="B151" s="1"/>
      <c r="C151" s="2"/>
      <c r="D151" s="61"/>
      <c r="E151" s="61"/>
      <c r="F151" s="61"/>
      <c r="G151" s="61"/>
      <c r="H151" s="61"/>
      <c r="I151" s="61"/>
      <c r="J151" s="61"/>
      <c r="K151" s="61"/>
      <c r="L151" s="61"/>
      <c r="M151" s="61"/>
      <c r="N151" s="61"/>
      <c r="O151" s="61"/>
      <c r="P151" s="61"/>
      <c r="Q151" s="61"/>
      <c r="R151" s="42"/>
    </row>
    <row r="152" spans="2:18" ht="16.5" thickBot="1" x14ac:dyDescent="0.3">
      <c r="B152" s="462" t="s">
        <v>752</v>
      </c>
      <c r="C152" s="472"/>
      <c r="D152" s="472"/>
      <c r="E152" s="279">
        <f ca="1">P131+E139-E149-E150</f>
        <v>0</v>
      </c>
      <c r="F152" s="279">
        <f ca="1">E152+F139-F149-F150</f>
        <v>0</v>
      </c>
      <c r="G152" s="279">
        <f t="shared" ref="G152:P152" ca="1" si="62">F152+G139-G149-G150</f>
        <v>0</v>
      </c>
      <c r="H152" s="279">
        <f t="shared" ca="1" si="62"/>
        <v>0</v>
      </c>
      <c r="I152" s="279">
        <f t="shared" ca="1" si="62"/>
        <v>0</v>
      </c>
      <c r="J152" s="279">
        <f t="shared" ca="1" si="62"/>
        <v>0</v>
      </c>
      <c r="K152" s="279">
        <f t="shared" ca="1" si="62"/>
        <v>0</v>
      </c>
      <c r="L152" s="279">
        <f t="shared" ca="1" si="62"/>
        <v>0</v>
      </c>
      <c r="M152" s="279">
        <f t="shared" ca="1" si="62"/>
        <v>0</v>
      </c>
      <c r="N152" s="279">
        <f t="shared" ca="1" si="62"/>
        <v>0</v>
      </c>
      <c r="O152" s="279">
        <f t="shared" ca="1" si="62"/>
        <v>0</v>
      </c>
      <c r="P152" s="456">
        <f t="shared" ca="1" si="62"/>
        <v>0</v>
      </c>
      <c r="Q152" s="58"/>
    </row>
    <row r="153" spans="2:18" x14ac:dyDescent="0.2">
      <c r="E153" s="58"/>
      <c r="F153" s="58"/>
      <c r="G153" s="58"/>
      <c r="H153" s="58"/>
      <c r="I153" s="58"/>
      <c r="J153" s="58"/>
      <c r="K153" s="58"/>
      <c r="L153" s="58"/>
      <c r="M153" s="58"/>
      <c r="N153" s="58"/>
      <c r="O153" s="58"/>
      <c r="P153" s="58"/>
      <c r="Q153" s="58"/>
    </row>
    <row r="154" spans="2:18" x14ac:dyDescent="0.2">
      <c r="E154" s="58"/>
      <c r="F154" s="58"/>
      <c r="G154" s="58"/>
      <c r="H154" s="58"/>
      <c r="I154" s="58"/>
      <c r="J154" s="58"/>
      <c r="K154" s="58"/>
      <c r="L154" s="58"/>
      <c r="M154" s="58"/>
      <c r="N154" s="58"/>
      <c r="O154" s="58"/>
      <c r="P154" s="58"/>
      <c r="Q154" s="58"/>
    </row>
    <row r="155" spans="2:18" ht="15.75" x14ac:dyDescent="0.25">
      <c r="B155" s="138" t="s">
        <v>747</v>
      </c>
      <c r="E155" s="495" t="s">
        <v>469</v>
      </c>
      <c r="F155" s="58"/>
      <c r="G155" s="58"/>
      <c r="H155" s="58"/>
      <c r="I155" s="58"/>
      <c r="J155" s="58"/>
      <c r="K155" s="58"/>
      <c r="L155" s="58"/>
      <c r="M155" s="58"/>
      <c r="N155" s="58"/>
      <c r="O155" s="58"/>
      <c r="P155" s="58"/>
      <c r="Q155" s="58"/>
    </row>
    <row r="156" spans="2:18" x14ac:dyDescent="0.2">
      <c r="E156" s="58"/>
      <c r="F156" s="58"/>
      <c r="G156" s="58"/>
      <c r="H156" s="58"/>
      <c r="I156" s="58"/>
      <c r="J156" s="58"/>
      <c r="K156" s="58"/>
      <c r="L156" s="58"/>
      <c r="M156" s="58"/>
      <c r="N156" s="58"/>
      <c r="O156" s="58"/>
      <c r="P156" s="58"/>
      <c r="Q156" s="58"/>
    </row>
    <row r="157" spans="2:18" ht="15.75" thickBot="1" x14ac:dyDescent="0.3">
      <c r="B157" s="41"/>
      <c r="C157" s="41"/>
      <c r="D157" s="298"/>
      <c r="E157" s="488" t="s">
        <v>296</v>
      </c>
      <c r="F157" s="488" t="s">
        <v>297</v>
      </c>
      <c r="G157" s="488" t="s">
        <v>298</v>
      </c>
      <c r="H157" s="488" t="s">
        <v>120</v>
      </c>
      <c r="I157" s="488" t="s">
        <v>121</v>
      </c>
      <c r="J157" s="488" t="s">
        <v>122</v>
      </c>
      <c r="K157" s="488" t="s">
        <v>123</v>
      </c>
      <c r="L157" s="488" t="s">
        <v>299</v>
      </c>
      <c r="M157" s="488" t="s">
        <v>300</v>
      </c>
      <c r="N157" s="488" t="s">
        <v>301</v>
      </c>
      <c r="O157" s="488" t="s">
        <v>302</v>
      </c>
      <c r="P157" s="488" t="s">
        <v>303</v>
      </c>
      <c r="Q157" s="488" t="s">
        <v>129</v>
      </c>
    </row>
    <row r="158" spans="2:18" ht="16.5" thickBot="1" x14ac:dyDescent="0.3">
      <c r="B158" s="468" t="s">
        <v>748</v>
      </c>
      <c r="C158" s="469"/>
      <c r="D158" s="469"/>
      <c r="E158" s="470">
        <f>'Margen B'!D218</f>
        <v>0</v>
      </c>
      <c r="F158" s="470">
        <f>'Margen B'!E218</f>
        <v>0</v>
      </c>
      <c r="G158" s="470">
        <f>'Margen B'!F218</f>
        <v>0</v>
      </c>
      <c r="H158" s="470">
        <f>'Margen B'!G218</f>
        <v>0</v>
      </c>
      <c r="I158" s="470">
        <f>'Margen B'!H218</f>
        <v>0</v>
      </c>
      <c r="J158" s="470">
        <f>'Margen B'!I218</f>
        <v>0</v>
      </c>
      <c r="K158" s="470">
        <f>'Margen B'!J218</f>
        <v>0</v>
      </c>
      <c r="L158" s="470">
        <f>'Margen B'!K218</f>
        <v>0</v>
      </c>
      <c r="M158" s="470">
        <f>'Margen B'!L218</f>
        <v>0</v>
      </c>
      <c r="N158" s="470">
        <f>'Margen B'!M218</f>
        <v>0</v>
      </c>
      <c r="O158" s="470">
        <f>'Margen B'!N218</f>
        <v>0</v>
      </c>
      <c r="P158" s="470">
        <f>'Margen B'!O218</f>
        <v>0</v>
      </c>
      <c r="Q158" s="471">
        <f>SUM(E158:P158)</f>
        <v>0</v>
      </c>
    </row>
    <row r="159" spans="2:18" ht="15.75" x14ac:dyDescent="0.25">
      <c r="B159" s="2" t="s">
        <v>749</v>
      </c>
      <c r="C159" s="2"/>
      <c r="D159" s="2"/>
      <c r="E159" s="59">
        <f>E158*'Datos generales'!$D$16</f>
        <v>0</v>
      </c>
      <c r="F159" s="59">
        <f>F158*'Datos generales'!$D$16</f>
        <v>0</v>
      </c>
      <c r="G159" s="59">
        <f>G158*'Datos generales'!$D$16</f>
        <v>0</v>
      </c>
      <c r="H159" s="59">
        <f>H158*'Datos generales'!$D$16</f>
        <v>0</v>
      </c>
      <c r="I159" s="59">
        <f>I158*'Datos generales'!$D$16</f>
        <v>0</v>
      </c>
      <c r="J159" s="59">
        <f>J158*'Datos generales'!$D$16</f>
        <v>0</v>
      </c>
      <c r="K159" s="59">
        <f>K158*'Datos generales'!$D$16</f>
        <v>0</v>
      </c>
      <c r="L159" s="59">
        <f>L158*'Datos generales'!$D$16</f>
        <v>0</v>
      </c>
      <c r="M159" s="59">
        <f>M158*'Datos generales'!$D$16</f>
        <v>0</v>
      </c>
      <c r="N159" s="59">
        <f>N158*'Datos generales'!$D$16</f>
        <v>0</v>
      </c>
      <c r="O159" s="59">
        <f>O158*'Datos generales'!$D$16</f>
        <v>0</v>
      </c>
      <c r="P159" s="59">
        <f>P158*'Datos generales'!$D$16</f>
        <v>0</v>
      </c>
      <c r="Q159" s="59">
        <f>SUM(E159:P159)</f>
        <v>0</v>
      </c>
    </row>
    <row r="160" spans="2:18" ht="15.75" x14ac:dyDescent="0.25">
      <c r="B160" s="2" t="s">
        <v>750</v>
      </c>
      <c r="C160" s="2"/>
      <c r="D160" s="2"/>
      <c r="E160" s="59">
        <f t="shared" ref="E160:P160" si="63">SUM(E158:E159)</f>
        <v>0</v>
      </c>
      <c r="F160" s="59">
        <f t="shared" si="63"/>
        <v>0</v>
      </c>
      <c r="G160" s="59">
        <f t="shared" si="63"/>
        <v>0</v>
      </c>
      <c r="H160" s="59">
        <f t="shared" si="63"/>
        <v>0</v>
      </c>
      <c r="I160" s="59">
        <f t="shared" si="63"/>
        <v>0</v>
      </c>
      <c r="J160" s="59">
        <f t="shared" si="63"/>
        <v>0</v>
      </c>
      <c r="K160" s="59">
        <f t="shared" si="63"/>
        <v>0</v>
      </c>
      <c r="L160" s="59">
        <f t="shared" si="63"/>
        <v>0</v>
      </c>
      <c r="M160" s="59">
        <f t="shared" si="63"/>
        <v>0</v>
      </c>
      <c r="N160" s="59">
        <f t="shared" si="63"/>
        <v>0</v>
      </c>
      <c r="O160" s="59">
        <f t="shared" si="63"/>
        <v>0</v>
      </c>
      <c r="P160" s="59">
        <f t="shared" si="63"/>
        <v>0</v>
      </c>
      <c r="Q160" s="59">
        <f>SUM(E160:P160)</f>
        <v>0</v>
      </c>
    </row>
    <row r="161" spans="2:18" ht="24" customHeight="1" x14ac:dyDescent="0.2">
      <c r="B161" s="464" t="s">
        <v>163</v>
      </c>
      <c r="C161" s="464"/>
      <c r="D161" s="696" t="s">
        <v>158</v>
      </c>
      <c r="E161" s="42"/>
      <c r="F161" s="42"/>
      <c r="G161" s="42"/>
      <c r="H161" s="42"/>
      <c r="I161" s="42"/>
      <c r="J161" s="42"/>
      <c r="K161" s="42"/>
      <c r="L161" s="42"/>
      <c r="M161" s="42"/>
      <c r="N161" s="42"/>
      <c r="O161" s="42"/>
      <c r="P161" s="42"/>
      <c r="Q161" s="58"/>
    </row>
    <row r="162" spans="2:18" x14ac:dyDescent="0.2">
      <c r="B162" s="41" t="s">
        <v>735</v>
      </c>
      <c r="C162" s="41"/>
      <c r="D162" s="461">
        <f>D141</f>
        <v>0.25</v>
      </c>
      <c r="E162" s="356">
        <f>+E160*$D$120</f>
        <v>0</v>
      </c>
      <c r="F162" s="356">
        <f t="shared" ref="F162:P162" si="64">+F160*$D$120</f>
        <v>0</v>
      </c>
      <c r="G162" s="356">
        <f t="shared" si="64"/>
        <v>0</v>
      </c>
      <c r="H162" s="356">
        <f t="shared" si="64"/>
        <v>0</v>
      </c>
      <c r="I162" s="356">
        <f t="shared" si="64"/>
        <v>0</v>
      </c>
      <c r="J162" s="356">
        <f t="shared" si="64"/>
        <v>0</v>
      </c>
      <c r="K162" s="356">
        <f t="shared" si="64"/>
        <v>0</v>
      </c>
      <c r="L162" s="356">
        <f t="shared" si="64"/>
        <v>0</v>
      </c>
      <c r="M162" s="356">
        <f t="shared" si="64"/>
        <v>0</v>
      </c>
      <c r="N162" s="356">
        <f t="shared" si="64"/>
        <v>0</v>
      </c>
      <c r="O162" s="356">
        <f t="shared" si="64"/>
        <v>0</v>
      </c>
      <c r="P162" s="356">
        <f t="shared" si="64"/>
        <v>0</v>
      </c>
      <c r="Q162" s="491">
        <f t="shared" ref="Q162:Q169" si="65">SUM(E162:P162)</f>
        <v>0</v>
      </c>
      <c r="R162" s="42"/>
    </row>
    <row r="163" spans="2:18" x14ac:dyDescent="0.2">
      <c r="B163" t="s">
        <v>736</v>
      </c>
      <c r="C163" s="41">
        <f>C142</f>
        <v>1</v>
      </c>
      <c r="D163" s="461">
        <f t="shared" ref="D163:D170" si="66">D142</f>
        <v>0.25</v>
      </c>
      <c r="E163" s="36">
        <f t="shared" ref="E163:P163" ca="1" si="67">IF($C163&gt;=E$1,IF($C163&gt;12+D$1,IF($C163&gt;24+D$1,0,OFFSET($Q$118,0,-$C163+12+D$1)*$D163),OFFSET($Q$139,0,-$C163+D$1)*$D163),OFFSET(E$160,0,-$C163)*$D163)</f>
        <v>0</v>
      </c>
      <c r="F163" s="36">
        <f t="shared" ca="1" si="67"/>
        <v>0</v>
      </c>
      <c r="G163" s="36">
        <f t="shared" ca="1" si="67"/>
        <v>0</v>
      </c>
      <c r="H163" s="36">
        <f t="shared" ca="1" si="67"/>
        <v>0</v>
      </c>
      <c r="I163" s="36">
        <f t="shared" ca="1" si="67"/>
        <v>0</v>
      </c>
      <c r="J163" s="36">
        <f t="shared" ca="1" si="67"/>
        <v>0</v>
      </c>
      <c r="K163" s="36">
        <f t="shared" ca="1" si="67"/>
        <v>0</v>
      </c>
      <c r="L163" s="36">
        <f t="shared" ca="1" si="67"/>
        <v>0</v>
      </c>
      <c r="M163" s="36">
        <f t="shared" ca="1" si="67"/>
        <v>0</v>
      </c>
      <c r="N163" s="36">
        <f t="shared" ca="1" si="67"/>
        <v>0</v>
      </c>
      <c r="O163" s="36">
        <f t="shared" ca="1" si="67"/>
        <v>0</v>
      </c>
      <c r="P163" s="36">
        <f t="shared" ca="1" si="67"/>
        <v>0</v>
      </c>
      <c r="Q163" s="376">
        <f t="shared" ca="1" si="65"/>
        <v>0</v>
      </c>
      <c r="R163" s="42"/>
    </row>
    <row r="164" spans="2:18" x14ac:dyDescent="0.2">
      <c r="B164" t="s">
        <v>736</v>
      </c>
      <c r="C164" s="41">
        <f t="shared" ref="C164:C169" si="68">C143</f>
        <v>2</v>
      </c>
      <c r="D164" s="461">
        <f t="shared" si="66"/>
        <v>0.25</v>
      </c>
      <c r="E164" s="36">
        <f t="shared" ref="E164:P164" ca="1" si="69">IF($C164&gt;=E$1,IF($C164&gt;12+D$1,IF($C164&gt;24+D$1,0,OFFSET($Q$118,0,-$C164+12+D$1)*$D164),OFFSET($Q$139,0,-$C164+D$1)*$D164),OFFSET(E$160,0,-$C164)*$D164)</f>
        <v>0</v>
      </c>
      <c r="F164" s="36">
        <f t="shared" ca="1" si="69"/>
        <v>0</v>
      </c>
      <c r="G164" s="36">
        <f t="shared" ca="1" si="69"/>
        <v>0</v>
      </c>
      <c r="H164" s="36">
        <f t="shared" ca="1" si="69"/>
        <v>0</v>
      </c>
      <c r="I164" s="36">
        <f t="shared" ca="1" si="69"/>
        <v>0</v>
      </c>
      <c r="J164" s="36">
        <f t="shared" ca="1" si="69"/>
        <v>0</v>
      </c>
      <c r="K164" s="36">
        <f t="shared" ca="1" si="69"/>
        <v>0</v>
      </c>
      <c r="L164" s="36">
        <f t="shared" ca="1" si="69"/>
        <v>0</v>
      </c>
      <c r="M164" s="36">
        <f t="shared" ca="1" si="69"/>
        <v>0</v>
      </c>
      <c r="N164" s="36">
        <f t="shared" ca="1" si="69"/>
        <v>0</v>
      </c>
      <c r="O164" s="36">
        <f t="shared" ca="1" si="69"/>
        <v>0</v>
      </c>
      <c r="P164" s="36">
        <f t="shared" ca="1" si="69"/>
        <v>0</v>
      </c>
      <c r="Q164" s="376">
        <f t="shared" ca="1" si="65"/>
        <v>0</v>
      </c>
      <c r="R164" s="42"/>
    </row>
    <row r="165" spans="2:18" x14ac:dyDescent="0.2">
      <c r="B165" t="s">
        <v>736</v>
      </c>
      <c r="C165" s="41">
        <f t="shared" si="68"/>
        <v>3</v>
      </c>
      <c r="D165" s="461">
        <f t="shared" si="66"/>
        <v>0.25</v>
      </c>
      <c r="E165" s="36">
        <f t="shared" ref="E165:P165" ca="1" si="70">IF($C165&gt;=E$1,IF($C165&gt;12+D$1,IF($C165&gt;24+D$1,0,OFFSET($Q$118,0,-$C165+12+D$1)*$D165),OFFSET($Q$139,0,-$C165+D$1)*$D165),OFFSET(E$160,0,-$C165)*$D165)</f>
        <v>0</v>
      </c>
      <c r="F165" s="36">
        <f t="shared" ca="1" si="70"/>
        <v>0</v>
      </c>
      <c r="G165" s="36">
        <f t="shared" ca="1" si="70"/>
        <v>0</v>
      </c>
      <c r="H165" s="36">
        <f t="shared" ca="1" si="70"/>
        <v>0</v>
      </c>
      <c r="I165" s="36">
        <f t="shared" ca="1" si="70"/>
        <v>0</v>
      </c>
      <c r="J165" s="36">
        <f t="shared" ca="1" si="70"/>
        <v>0</v>
      </c>
      <c r="K165" s="36">
        <f t="shared" ca="1" si="70"/>
        <v>0</v>
      </c>
      <c r="L165" s="36">
        <f t="shared" ca="1" si="70"/>
        <v>0</v>
      </c>
      <c r="M165" s="36">
        <f t="shared" ca="1" si="70"/>
        <v>0</v>
      </c>
      <c r="N165" s="36">
        <f t="shared" ca="1" si="70"/>
        <v>0</v>
      </c>
      <c r="O165" s="36">
        <f t="shared" ca="1" si="70"/>
        <v>0</v>
      </c>
      <c r="P165" s="36">
        <f t="shared" ca="1" si="70"/>
        <v>0</v>
      </c>
      <c r="Q165" s="376">
        <f t="shared" ca="1" si="65"/>
        <v>0</v>
      </c>
      <c r="R165" s="42"/>
    </row>
    <row r="166" spans="2:18" x14ac:dyDescent="0.2">
      <c r="B166" t="s">
        <v>736</v>
      </c>
      <c r="C166" s="41">
        <f t="shared" si="68"/>
        <v>0</v>
      </c>
      <c r="D166" s="461">
        <f t="shared" si="66"/>
        <v>0</v>
      </c>
      <c r="E166" s="36">
        <f t="shared" ref="E166:P166" ca="1" si="71">IF($C166&gt;=E$1,IF($C166&gt;12+D$1,IF($C166&gt;24+D$1,0,OFFSET($Q$118,0,-$C166+12+D$1)*$D166),OFFSET($Q$139,0,-$C166+D$1)*$D166),OFFSET(E$160,0,-$C166)*$D166)</f>
        <v>0</v>
      </c>
      <c r="F166" s="36">
        <f t="shared" ca="1" si="71"/>
        <v>0</v>
      </c>
      <c r="G166" s="36">
        <f t="shared" ca="1" si="71"/>
        <v>0</v>
      </c>
      <c r="H166" s="36">
        <f t="shared" ca="1" si="71"/>
        <v>0</v>
      </c>
      <c r="I166" s="36">
        <f t="shared" ca="1" si="71"/>
        <v>0</v>
      </c>
      <c r="J166" s="36">
        <f t="shared" ca="1" si="71"/>
        <v>0</v>
      </c>
      <c r="K166" s="36">
        <f t="shared" ca="1" si="71"/>
        <v>0</v>
      </c>
      <c r="L166" s="36">
        <f t="shared" ca="1" si="71"/>
        <v>0</v>
      </c>
      <c r="M166" s="36">
        <f t="shared" ca="1" si="71"/>
        <v>0</v>
      </c>
      <c r="N166" s="36">
        <f t="shared" ca="1" si="71"/>
        <v>0</v>
      </c>
      <c r="O166" s="36">
        <f t="shared" ca="1" si="71"/>
        <v>0</v>
      </c>
      <c r="P166" s="36">
        <f t="shared" ca="1" si="71"/>
        <v>0</v>
      </c>
      <c r="Q166" s="376">
        <f t="shared" ca="1" si="65"/>
        <v>0</v>
      </c>
      <c r="R166" s="42"/>
    </row>
    <row r="167" spans="2:18" x14ac:dyDescent="0.2">
      <c r="B167" t="s">
        <v>736</v>
      </c>
      <c r="C167" s="41">
        <f t="shared" si="68"/>
        <v>0</v>
      </c>
      <c r="D167" s="461">
        <f t="shared" si="66"/>
        <v>0</v>
      </c>
      <c r="E167" s="36">
        <f t="shared" ref="E167:P167" ca="1" si="72">IF($C167&gt;=E$1,IF($C167&gt;12+D$1,IF($C167&gt;24+D$1,0,OFFSET($Q$118,0,-$C167+12+D$1)*$D167),OFFSET($Q$139,0,-$C167+D$1)*$D167),OFFSET(E$160,0,-$C167)*$D167)</f>
        <v>0</v>
      </c>
      <c r="F167" s="36">
        <f t="shared" ca="1" si="72"/>
        <v>0</v>
      </c>
      <c r="G167" s="36">
        <f t="shared" ca="1" si="72"/>
        <v>0</v>
      </c>
      <c r="H167" s="36">
        <f t="shared" ca="1" si="72"/>
        <v>0</v>
      </c>
      <c r="I167" s="36">
        <f t="shared" ca="1" si="72"/>
        <v>0</v>
      </c>
      <c r="J167" s="36">
        <f t="shared" ca="1" si="72"/>
        <v>0</v>
      </c>
      <c r="K167" s="36">
        <f t="shared" ca="1" si="72"/>
        <v>0</v>
      </c>
      <c r="L167" s="36">
        <f t="shared" ca="1" si="72"/>
        <v>0</v>
      </c>
      <c r="M167" s="36">
        <f t="shared" ca="1" si="72"/>
        <v>0</v>
      </c>
      <c r="N167" s="36">
        <f t="shared" ca="1" si="72"/>
        <v>0</v>
      </c>
      <c r="O167" s="36">
        <f t="shared" ca="1" si="72"/>
        <v>0</v>
      </c>
      <c r="P167" s="36">
        <f t="shared" ca="1" si="72"/>
        <v>0</v>
      </c>
      <c r="Q167" s="376">
        <f t="shared" ca="1" si="65"/>
        <v>0</v>
      </c>
      <c r="R167" s="42"/>
    </row>
    <row r="168" spans="2:18" x14ac:dyDescent="0.2">
      <c r="B168" t="s">
        <v>736</v>
      </c>
      <c r="C168" s="41">
        <f t="shared" si="68"/>
        <v>0</v>
      </c>
      <c r="D168" s="461">
        <f t="shared" si="66"/>
        <v>0</v>
      </c>
      <c r="E168" s="36">
        <f t="shared" ref="E168:P168" ca="1" si="73">IF($C168&gt;=E$1,IF($C168&gt;12+D$1,IF($C168&gt;24+D$1,0,OFFSET($Q$118,0,-$C168+12+D$1)*$D168),OFFSET($Q$139,0,-$C168+D$1)*$D168),OFFSET(E$160,0,-$C168)*$D168)</f>
        <v>0</v>
      </c>
      <c r="F168" s="36">
        <f t="shared" ca="1" si="73"/>
        <v>0</v>
      </c>
      <c r="G168" s="36">
        <f t="shared" ca="1" si="73"/>
        <v>0</v>
      </c>
      <c r="H168" s="36">
        <f t="shared" ca="1" si="73"/>
        <v>0</v>
      </c>
      <c r="I168" s="36">
        <f t="shared" ca="1" si="73"/>
        <v>0</v>
      </c>
      <c r="J168" s="36">
        <f t="shared" ca="1" si="73"/>
        <v>0</v>
      </c>
      <c r="K168" s="36">
        <f t="shared" ca="1" si="73"/>
        <v>0</v>
      </c>
      <c r="L168" s="36">
        <f t="shared" ca="1" si="73"/>
        <v>0</v>
      </c>
      <c r="M168" s="36">
        <f t="shared" ca="1" si="73"/>
        <v>0</v>
      </c>
      <c r="N168" s="36">
        <f t="shared" ca="1" si="73"/>
        <v>0</v>
      </c>
      <c r="O168" s="36">
        <f t="shared" ca="1" si="73"/>
        <v>0</v>
      </c>
      <c r="P168" s="36">
        <f t="shared" ca="1" si="73"/>
        <v>0</v>
      </c>
      <c r="Q168" s="376">
        <f t="shared" ca="1" si="65"/>
        <v>0</v>
      </c>
      <c r="R168" s="42"/>
    </row>
    <row r="169" spans="2:18" ht="13.5" thickBot="1" x14ac:dyDescent="0.25">
      <c r="B169" t="s">
        <v>736</v>
      </c>
      <c r="C169" s="41">
        <f t="shared" si="68"/>
        <v>0</v>
      </c>
      <c r="D169" s="461">
        <f t="shared" si="66"/>
        <v>0</v>
      </c>
      <c r="E169" s="36">
        <f t="shared" ref="E169:P169" ca="1" si="74">IF($C169&gt;=E$1,IF($C169&gt;12+D$1,IF($C169&gt;24+D$1,0,OFFSET($Q$118,0,-$C169+12+D$1)*$D169),OFFSET($Q$139,0,-$C169+D$1)*$D169),OFFSET(E$160,0,-$C169)*$D169)</f>
        <v>0</v>
      </c>
      <c r="F169" s="36">
        <f t="shared" ca="1" si="74"/>
        <v>0</v>
      </c>
      <c r="G169" s="36">
        <f t="shared" ca="1" si="74"/>
        <v>0</v>
      </c>
      <c r="H169" s="36">
        <f t="shared" ca="1" si="74"/>
        <v>0</v>
      </c>
      <c r="I169" s="36">
        <f t="shared" ca="1" si="74"/>
        <v>0</v>
      </c>
      <c r="J169" s="36">
        <f t="shared" ca="1" si="74"/>
        <v>0</v>
      </c>
      <c r="K169" s="36">
        <f t="shared" ca="1" si="74"/>
        <v>0</v>
      </c>
      <c r="L169" s="36">
        <f t="shared" ca="1" si="74"/>
        <v>0</v>
      </c>
      <c r="M169" s="36">
        <f t="shared" ca="1" si="74"/>
        <v>0</v>
      </c>
      <c r="N169" s="36">
        <f t="shared" ca="1" si="74"/>
        <v>0</v>
      </c>
      <c r="O169" s="36">
        <f t="shared" ca="1" si="74"/>
        <v>0</v>
      </c>
      <c r="P169" s="36">
        <f t="shared" ca="1" si="74"/>
        <v>0</v>
      </c>
      <c r="Q169" s="492">
        <f t="shared" ca="1" si="65"/>
        <v>0</v>
      </c>
      <c r="R169" s="42"/>
    </row>
    <row r="170" spans="2:18" ht="16.5" thickBot="1" x14ac:dyDescent="0.3">
      <c r="B170" s="462" t="str">
        <f>B149</f>
        <v>Total pagado:</v>
      </c>
      <c r="C170" s="472"/>
      <c r="D170" s="489">
        <f t="shared" si="66"/>
        <v>1</v>
      </c>
      <c r="E170" s="279">
        <f t="shared" ref="E170:Q170" ca="1" si="75">SUM(E162:E169)</f>
        <v>0</v>
      </c>
      <c r="F170" s="279">
        <f t="shared" ca="1" si="75"/>
        <v>0</v>
      </c>
      <c r="G170" s="279">
        <f t="shared" ca="1" si="75"/>
        <v>0</v>
      </c>
      <c r="H170" s="279">
        <f t="shared" ca="1" si="75"/>
        <v>0</v>
      </c>
      <c r="I170" s="279">
        <f t="shared" ca="1" si="75"/>
        <v>0</v>
      </c>
      <c r="J170" s="279">
        <f t="shared" ca="1" si="75"/>
        <v>0</v>
      </c>
      <c r="K170" s="279">
        <f t="shared" ca="1" si="75"/>
        <v>0</v>
      </c>
      <c r="L170" s="279">
        <f t="shared" ca="1" si="75"/>
        <v>0</v>
      </c>
      <c r="M170" s="279">
        <f t="shared" ca="1" si="75"/>
        <v>0</v>
      </c>
      <c r="N170" s="279">
        <f t="shared" ca="1" si="75"/>
        <v>0</v>
      </c>
      <c r="O170" s="279">
        <f t="shared" ca="1" si="75"/>
        <v>0</v>
      </c>
      <c r="P170" s="279">
        <f t="shared" ca="1" si="75"/>
        <v>0</v>
      </c>
      <c r="Q170" s="456">
        <f t="shared" ca="1" si="75"/>
        <v>0</v>
      </c>
    </row>
    <row r="171" spans="2:18" ht="19.5" customHeight="1" x14ac:dyDescent="0.25">
      <c r="B171" s="493" t="s">
        <v>740</v>
      </c>
      <c r="C171" s="494"/>
      <c r="D171" s="490"/>
      <c r="E171" s="490">
        <f ca="1">OFFSET('Otra financiación'!$K$108,D1,0,1,1)</f>
        <v>0</v>
      </c>
      <c r="F171" s="490">
        <f ca="1">OFFSET('Otra financiación'!$K$108,E1,0,1,1)</f>
        <v>0</v>
      </c>
      <c r="G171" s="490">
        <f ca="1">OFFSET('Otra financiación'!$K$108,F1,0,1,1)</f>
        <v>0</v>
      </c>
      <c r="H171" s="490">
        <f ca="1">OFFSET('Otra financiación'!$K$108,G1,0,1,1)</f>
        <v>0</v>
      </c>
      <c r="I171" s="490">
        <f ca="1">OFFSET('Otra financiación'!$K$108,H1,0,1,1)</f>
        <v>0</v>
      </c>
      <c r="J171" s="490">
        <f ca="1">OFFSET('Otra financiación'!$K$108,I1,0,1,1)</f>
        <v>0</v>
      </c>
      <c r="K171" s="490">
        <f ca="1">OFFSET('Otra financiación'!$K$108,J1,0,1,1)</f>
        <v>0</v>
      </c>
      <c r="L171" s="490">
        <f ca="1">OFFSET('Otra financiación'!$K$108,K1,0,1,1)</f>
        <v>0</v>
      </c>
      <c r="M171" s="490">
        <f ca="1">OFFSET('Otra financiación'!$K$108,L1,0,1,1)</f>
        <v>0</v>
      </c>
      <c r="N171" s="490">
        <f ca="1">OFFSET('Otra financiación'!$K$108,M1,0,1,1)</f>
        <v>0</v>
      </c>
      <c r="O171" s="490">
        <f ca="1">OFFSET('Otra financiación'!$K$108,N1,0,1,1)</f>
        <v>0</v>
      </c>
      <c r="P171" s="490">
        <f ca="1">OFFSET('Otra financiación'!$K$108,O1,0,1,1)</f>
        <v>0</v>
      </c>
      <c r="Q171" s="490">
        <f ca="1">SUM(E171:P171)</f>
        <v>0</v>
      </c>
      <c r="R171" s="42"/>
    </row>
    <row r="172" spans="2:18" ht="6" customHeight="1" thickBot="1" x14ac:dyDescent="0.3">
      <c r="B172" s="1"/>
      <c r="C172" s="2"/>
      <c r="D172" s="61"/>
      <c r="E172" s="61"/>
      <c r="F172" s="61"/>
      <c r="G172" s="61"/>
      <c r="H172" s="61"/>
      <c r="I172" s="61"/>
      <c r="J172" s="61"/>
      <c r="K172" s="61"/>
      <c r="L172" s="61"/>
      <c r="M172" s="61"/>
      <c r="N172" s="61"/>
      <c r="O172" s="61"/>
      <c r="P172" s="61"/>
      <c r="Q172" s="61"/>
      <c r="R172" s="42"/>
    </row>
    <row r="173" spans="2:18" ht="16.5" thickBot="1" x14ac:dyDescent="0.3">
      <c r="B173" s="462" t="s">
        <v>752</v>
      </c>
      <c r="C173" s="472"/>
      <c r="D173" s="472"/>
      <c r="E173" s="279">
        <f ca="1">P152+E160-E170-E171</f>
        <v>0</v>
      </c>
      <c r="F173" s="279">
        <f ca="1">E173+F160-F170-F171</f>
        <v>0</v>
      </c>
      <c r="G173" s="279">
        <f t="shared" ref="G173:P173" ca="1" si="76">F173+G160-G170-G171</f>
        <v>0</v>
      </c>
      <c r="H173" s="279">
        <f t="shared" ca="1" si="76"/>
        <v>0</v>
      </c>
      <c r="I173" s="279">
        <f t="shared" ca="1" si="76"/>
        <v>0</v>
      </c>
      <c r="J173" s="279">
        <f t="shared" ca="1" si="76"/>
        <v>0</v>
      </c>
      <c r="K173" s="279">
        <f t="shared" ca="1" si="76"/>
        <v>0</v>
      </c>
      <c r="L173" s="279">
        <f t="shared" ca="1" si="76"/>
        <v>0</v>
      </c>
      <c r="M173" s="279">
        <f t="shared" ca="1" si="76"/>
        <v>0</v>
      </c>
      <c r="N173" s="279">
        <f t="shared" ca="1" si="76"/>
        <v>0</v>
      </c>
      <c r="O173" s="279">
        <f t="shared" ca="1" si="76"/>
        <v>0</v>
      </c>
      <c r="P173" s="456">
        <f t="shared" ca="1" si="76"/>
        <v>0</v>
      </c>
      <c r="Q173" s="58"/>
    </row>
    <row r="174" spans="2:18" x14ac:dyDescent="0.2">
      <c r="E174" s="58"/>
      <c r="F174" s="58"/>
      <c r="G174" s="58"/>
      <c r="H174" s="58"/>
      <c r="I174" s="58"/>
      <c r="J174" s="58"/>
      <c r="K174" s="58"/>
      <c r="L174" s="58"/>
      <c r="M174" s="58"/>
      <c r="N174" s="58"/>
      <c r="O174" s="58"/>
      <c r="P174" s="58"/>
      <c r="Q174" s="58"/>
    </row>
    <row r="175" spans="2:18" x14ac:dyDescent="0.2">
      <c r="E175" s="58"/>
      <c r="F175" s="58"/>
      <c r="G175" s="58"/>
      <c r="H175" s="58"/>
      <c r="I175" s="58"/>
      <c r="J175" s="58"/>
      <c r="K175" s="58"/>
      <c r="L175" s="58"/>
      <c r="M175" s="58"/>
      <c r="N175" s="58"/>
      <c r="O175" s="58"/>
      <c r="P175" s="58"/>
      <c r="Q175" s="58"/>
    </row>
    <row r="176" spans="2:18" x14ac:dyDescent="0.2">
      <c r="E176" s="58"/>
      <c r="F176" s="58"/>
      <c r="G176" s="58"/>
      <c r="H176" s="58"/>
      <c r="I176" s="58"/>
      <c r="J176" s="58"/>
      <c r="K176" s="58"/>
      <c r="L176" s="58"/>
      <c r="M176" s="58"/>
      <c r="N176" s="58"/>
      <c r="O176" s="58"/>
      <c r="P176" s="58"/>
      <c r="Q176" s="58"/>
    </row>
    <row r="177" spans="5:17" x14ac:dyDescent="0.2">
      <c r="E177" s="58"/>
      <c r="F177" s="58"/>
      <c r="G177" s="58"/>
      <c r="H177" s="58"/>
      <c r="I177" s="58"/>
      <c r="J177" s="58"/>
      <c r="K177" s="58"/>
      <c r="L177" s="58"/>
      <c r="M177" s="58"/>
      <c r="N177" s="58"/>
      <c r="O177" s="58"/>
      <c r="P177" s="58"/>
      <c r="Q177" s="58"/>
    </row>
    <row r="178" spans="5:17" x14ac:dyDescent="0.2">
      <c r="E178" s="58"/>
      <c r="F178" s="58"/>
      <c r="G178" s="58"/>
      <c r="H178" s="58"/>
      <c r="I178" s="58"/>
      <c r="J178" s="58"/>
      <c r="K178" s="58"/>
      <c r="L178" s="58"/>
      <c r="M178" s="58"/>
      <c r="N178" s="58"/>
      <c r="O178" s="58"/>
      <c r="P178" s="58"/>
      <c r="Q178" s="58"/>
    </row>
    <row r="179" spans="5:17" x14ac:dyDescent="0.2">
      <c r="E179" s="58"/>
      <c r="F179" s="58"/>
      <c r="G179" s="58"/>
      <c r="H179" s="58"/>
      <c r="I179" s="58"/>
      <c r="J179" s="58"/>
      <c r="K179" s="58"/>
      <c r="L179" s="58"/>
      <c r="M179" s="58"/>
      <c r="N179" s="58"/>
      <c r="O179" s="58"/>
      <c r="P179" s="58"/>
      <c r="Q179" s="58"/>
    </row>
    <row r="180" spans="5:17" x14ac:dyDescent="0.2">
      <c r="E180" s="58"/>
      <c r="F180" s="58"/>
      <c r="G180" s="58"/>
      <c r="H180" s="58"/>
      <c r="I180" s="58"/>
      <c r="J180" s="58"/>
      <c r="K180" s="58"/>
      <c r="L180" s="58"/>
      <c r="M180" s="58"/>
      <c r="N180" s="58"/>
      <c r="O180" s="58"/>
      <c r="P180" s="58"/>
      <c r="Q180" s="58"/>
    </row>
    <row r="181" spans="5:17" x14ac:dyDescent="0.2">
      <c r="E181" s="58"/>
      <c r="F181" s="58"/>
      <c r="G181" s="58"/>
      <c r="H181" s="58"/>
      <c r="I181" s="58"/>
      <c r="J181" s="58"/>
      <c r="K181" s="58"/>
      <c r="L181" s="58"/>
      <c r="M181" s="58"/>
      <c r="N181" s="58"/>
      <c r="O181" s="58"/>
      <c r="P181" s="58"/>
      <c r="Q181" s="58"/>
    </row>
    <row r="182" spans="5:17" x14ac:dyDescent="0.2">
      <c r="E182" s="58"/>
      <c r="F182" s="58"/>
      <c r="G182" s="58"/>
      <c r="H182" s="58"/>
      <c r="I182" s="58"/>
      <c r="J182" s="58"/>
      <c r="K182" s="58"/>
      <c r="L182" s="58"/>
      <c r="M182" s="58"/>
      <c r="N182" s="58"/>
      <c r="O182" s="58"/>
      <c r="P182" s="58"/>
      <c r="Q182" s="58"/>
    </row>
  </sheetData>
  <sheetProtection password="CC4B" sheet="1"/>
  <mergeCells count="1">
    <mergeCell ref="B4:G4"/>
  </mergeCells>
  <phoneticPr fontId="0" type="noConversion"/>
  <printOptions horizontalCentered="1" verticalCentered="1"/>
  <pageMargins left="0.75" right="0.75" top="1" bottom="1" header="0" footer="0"/>
  <pageSetup paperSize="9" scale="3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2:O51"/>
  <sheetViews>
    <sheetView showGridLines="0" tabSelected="1" zoomScale="115" zoomScaleNormal="115" workbookViewId="0">
      <selection activeCell="O13" sqref="O13"/>
    </sheetView>
  </sheetViews>
  <sheetFormatPr baseColWidth="10" defaultColWidth="9.140625" defaultRowHeight="12.75" x14ac:dyDescent="0.2"/>
  <cols>
    <col min="1" max="1" width="11.42578125" customWidth="1"/>
    <col min="2" max="2" width="3.7109375" customWidth="1"/>
    <col min="3" max="3" width="8.7109375" customWidth="1"/>
    <col min="4" max="4" width="6" customWidth="1"/>
    <col min="5" max="7" width="8.7109375" customWidth="1"/>
    <col min="8" max="8" width="3.7109375" customWidth="1"/>
    <col min="9" max="9" width="13.28515625" customWidth="1"/>
    <col min="10" max="10" width="9.5703125" customWidth="1"/>
    <col min="11" max="11" width="11.42578125" customWidth="1"/>
    <col min="12" max="12" width="3.7109375" customWidth="1"/>
    <col min="13" max="24" width="11.42578125" customWidth="1"/>
    <col min="25" max="25" width="14.28515625" customWidth="1"/>
    <col min="26" max="256" width="11.42578125" customWidth="1"/>
  </cols>
  <sheetData>
    <row r="2" spans="2:14" ht="30" x14ac:dyDescent="0.4">
      <c r="B2" s="1221" t="s">
        <v>46</v>
      </c>
      <c r="E2" s="1222" t="s">
        <v>47</v>
      </c>
    </row>
    <row r="4" spans="2:14" ht="23.25" x14ac:dyDescent="0.35">
      <c r="B4" s="1290" t="s">
        <v>48</v>
      </c>
      <c r="C4" s="1290"/>
      <c r="D4" s="1290"/>
      <c r="E4" s="1290"/>
      <c r="F4" s="1290"/>
      <c r="G4" s="1290"/>
      <c r="H4" s="1290"/>
      <c r="I4" s="1290"/>
      <c r="J4" s="1290"/>
      <c r="K4" s="1290"/>
      <c r="L4" s="1290"/>
      <c r="M4" s="1290"/>
    </row>
    <row r="7" spans="2:14" x14ac:dyDescent="0.2">
      <c r="B7" s="1224" t="s">
        <v>49</v>
      </c>
      <c r="C7" s="7"/>
    </row>
    <row r="8" spans="2:14" x14ac:dyDescent="0.2">
      <c r="B8" s="7"/>
      <c r="C8" s="1223" t="s">
        <v>50</v>
      </c>
    </row>
    <row r="10" spans="2:14" ht="15.75" x14ac:dyDescent="0.25">
      <c r="B10" s="115" t="s">
        <v>51</v>
      </c>
    </row>
    <row r="12" spans="2:14" x14ac:dyDescent="0.2">
      <c r="B12" t="s">
        <v>52</v>
      </c>
    </row>
    <row r="14" spans="2:14" ht="12.75" customHeight="1" x14ac:dyDescent="0.2">
      <c r="B14" s="1296" t="s">
        <v>53</v>
      </c>
      <c r="C14" s="1296"/>
      <c r="D14" s="1296"/>
      <c r="E14" s="1296"/>
      <c r="F14" s="1296"/>
      <c r="G14" s="1296"/>
      <c r="H14" s="1296"/>
      <c r="I14" s="1296"/>
      <c r="J14" s="1296"/>
      <c r="K14" s="1296"/>
      <c r="L14" s="1296"/>
      <c r="M14" s="1296"/>
      <c r="N14" s="1296"/>
    </row>
    <row r="15" spans="2:14" x14ac:dyDescent="0.2">
      <c r="B15" s="1296"/>
      <c r="C15" s="1296"/>
      <c r="D15" s="1296"/>
      <c r="E15" s="1296"/>
      <c r="F15" s="1296"/>
      <c r="G15" s="1296"/>
      <c r="H15" s="1296"/>
      <c r="I15" s="1296"/>
      <c r="J15" s="1296"/>
      <c r="K15" s="1296"/>
      <c r="L15" s="1296"/>
      <c r="M15" s="1296"/>
      <c r="N15" s="1296"/>
    </row>
    <row r="16" spans="2:14" x14ac:dyDescent="0.2">
      <c r="B16" s="1296"/>
      <c r="C16" s="1296"/>
      <c r="D16" s="1296"/>
      <c r="E16" s="1296"/>
      <c r="F16" s="1296"/>
      <c r="G16" s="1296"/>
      <c r="H16" s="1296"/>
      <c r="I16" s="1296"/>
      <c r="J16" s="1296"/>
      <c r="K16" s="1296"/>
      <c r="L16" s="1296"/>
      <c r="M16" s="1296"/>
      <c r="N16" s="1296"/>
    </row>
    <row r="17" spans="2:14" x14ac:dyDescent="0.2">
      <c r="B17" s="1296"/>
      <c r="C17" s="1296"/>
      <c r="D17" s="1296"/>
      <c r="E17" s="1296"/>
      <c r="F17" s="1296"/>
      <c r="G17" s="1296"/>
      <c r="H17" s="1296"/>
      <c r="I17" s="1296"/>
      <c r="J17" s="1296"/>
      <c r="K17" s="1296"/>
      <c r="L17" s="1296"/>
      <c r="M17" s="1296"/>
      <c r="N17" s="1296"/>
    </row>
    <row r="18" spans="2:14" x14ac:dyDescent="0.2">
      <c r="B18" s="1296"/>
      <c r="C18" s="1296"/>
      <c r="D18" s="1296"/>
      <c r="E18" s="1296"/>
      <c r="F18" s="1296"/>
      <c r="G18" s="1296"/>
      <c r="H18" s="1296"/>
      <c r="I18" s="1296"/>
      <c r="J18" s="1296"/>
      <c r="K18" s="1296"/>
      <c r="L18" s="1296"/>
      <c r="M18" s="1296"/>
      <c r="N18" s="1296"/>
    </row>
    <row r="19" spans="2:14" x14ac:dyDescent="0.2">
      <c r="B19" s="1296"/>
      <c r="C19" s="1296"/>
      <c r="D19" s="1296"/>
      <c r="E19" s="1296"/>
      <c r="F19" s="1296"/>
      <c r="G19" s="1296"/>
      <c r="H19" s="1296"/>
      <c r="I19" s="1296"/>
      <c r="J19" s="1296"/>
      <c r="K19" s="1296"/>
      <c r="L19" s="1296"/>
      <c r="M19" s="1296"/>
      <c r="N19" s="1296"/>
    </row>
    <row r="20" spans="2:14" x14ac:dyDescent="0.2">
      <c r="B20" s="1296"/>
      <c r="C20" s="1296"/>
      <c r="D20" s="1296"/>
      <c r="E20" s="1296"/>
      <c r="F20" s="1296"/>
      <c r="G20" s="1296"/>
      <c r="H20" s="1296"/>
      <c r="I20" s="1296"/>
      <c r="J20" s="1296"/>
      <c r="K20" s="1296"/>
      <c r="L20" s="1296"/>
      <c r="M20" s="1296"/>
      <c r="N20" s="1296"/>
    </row>
    <row r="21" spans="2:14" x14ac:dyDescent="0.2">
      <c r="B21" s="1296"/>
      <c r="C21" s="1296"/>
      <c r="D21" s="1296"/>
      <c r="E21" s="1296"/>
      <c r="F21" s="1296"/>
      <c r="G21" s="1296"/>
      <c r="H21" s="1296"/>
      <c r="I21" s="1296"/>
      <c r="J21" s="1296"/>
      <c r="K21" s="1296"/>
      <c r="L21" s="1296"/>
      <c r="M21" s="1296"/>
      <c r="N21" s="1296"/>
    </row>
    <row r="22" spans="2:14" x14ac:dyDescent="0.2">
      <c r="B22" s="1296"/>
      <c r="C22" s="1296"/>
      <c r="D22" s="1296"/>
      <c r="E22" s="1296"/>
      <c r="F22" s="1296"/>
      <c r="G22" s="1296"/>
      <c r="H22" s="1296"/>
      <c r="I22" s="1296"/>
      <c r="J22" s="1296"/>
      <c r="K22" s="1296"/>
      <c r="L22" s="1296"/>
      <c r="M22" s="1296"/>
      <c r="N22" s="1296"/>
    </row>
    <row r="23" spans="2:14" x14ac:dyDescent="0.2">
      <c r="B23" s="1296"/>
      <c r="C23" s="1296"/>
      <c r="D23" s="1296"/>
      <c r="E23" s="1296"/>
      <c r="F23" s="1296"/>
      <c r="G23" s="1296"/>
      <c r="H23" s="1296"/>
      <c r="I23" s="1296"/>
      <c r="J23" s="1296"/>
      <c r="K23" s="1296"/>
      <c r="L23" s="1296"/>
      <c r="M23" s="1296"/>
      <c r="N23" s="1296"/>
    </row>
    <row r="24" spans="2:14" x14ac:dyDescent="0.2">
      <c r="B24" s="1296"/>
      <c r="C24" s="1296"/>
      <c r="D24" s="1296"/>
      <c r="E24" s="1296"/>
      <c r="F24" s="1296"/>
      <c r="G24" s="1296"/>
      <c r="H24" s="1296"/>
      <c r="I24" s="1296"/>
      <c r="J24" s="1296"/>
      <c r="K24" s="1296"/>
      <c r="L24" s="1296"/>
      <c r="M24" s="1296"/>
      <c r="N24" s="1296"/>
    </row>
    <row r="25" spans="2:14" x14ac:dyDescent="0.2">
      <c r="B25" s="1296"/>
      <c r="C25" s="1296"/>
      <c r="D25" s="1296"/>
      <c r="E25" s="1296"/>
      <c r="F25" s="1296"/>
      <c r="G25" s="1296"/>
      <c r="H25" s="1296"/>
      <c r="I25" s="1296"/>
      <c r="J25" s="1296"/>
      <c r="K25" s="1296"/>
      <c r="L25" s="1296"/>
      <c r="M25" s="1296"/>
      <c r="N25" s="1296"/>
    </row>
    <row r="26" spans="2:14" x14ac:dyDescent="0.2">
      <c r="B26" s="1296"/>
      <c r="C26" s="1296"/>
      <c r="D26" s="1296"/>
      <c r="E26" s="1296"/>
      <c r="F26" s="1296"/>
      <c r="G26" s="1296"/>
      <c r="H26" s="1296"/>
      <c r="I26" s="1296"/>
      <c r="J26" s="1296"/>
      <c r="K26" s="1296"/>
      <c r="L26" s="1296"/>
      <c r="M26" s="1296"/>
      <c r="N26" s="1296"/>
    </row>
    <row r="27" spans="2:14" x14ac:dyDescent="0.2">
      <c r="B27" s="1296"/>
      <c r="C27" s="1296"/>
      <c r="D27" s="1296"/>
      <c r="E27" s="1296"/>
      <c r="F27" s="1296"/>
      <c r="G27" s="1296"/>
      <c r="H27" s="1296"/>
      <c r="I27" s="1296"/>
      <c r="J27" s="1296"/>
      <c r="K27" s="1296"/>
      <c r="L27" s="1296"/>
      <c r="M27" s="1296"/>
      <c r="N27" s="1296"/>
    </row>
    <row r="28" spans="2:14" x14ac:dyDescent="0.2">
      <c r="B28" s="1296"/>
      <c r="C28" s="1296"/>
      <c r="D28" s="1296"/>
      <c r="E28" s="1296"/>
      <c r="F28" s="1296"/>
      <c r="G28" s="1296"/>
      <c r="H28" s="1296"/>
      <c r="I28" s="1296"/>
      <c r="J28" s="1296"/>
      <c r="K28" s="1296"/>
      <c r="L28" s="1296"/>
      <c r="M28" s="1296"/>
      <c r="N28" s="1296"/>
    </row>
    <row r="29" spans="2:14" x14ac:dyDescent="0.2">
      <c r="B29" s="1296"/>
      <c r="C29" s="1296"/>
      <c r="D29" s="1296"/>
      <c r="E29" s="1296"/>
      <c r="F29" s="1296"/>
      <c r="G29" s="1296"/>
      <c r="H29" s="1296"/>
      <c r="I29" s="1296"/>
      <c r="J29" s="1296"/>
      <c r="K29" s="1296"/>
      <c r="L29" s="1296"/>
      <c r="M29" s="1296"/>
      <c r="N29" s="1296"/>
    </row>
    <row r="30" spans="2:14" x14ac:dyDescent="0.2">
      <c r="B30" s="1296"/>
      <c r="C30" s="1296"/>
      <c r="D30" s="1296"/>
      <c r="E30" s="1296"/>
      <c r="F30" s="1296"/>
      <c r="G30" s="1296"/>
      <c r="H30" s="1296"/>
      <c r="I30" s="1296"/>
      <c r="J30" s="1296"/>
      <c r="K30" s="1296"/>
      <c r="L30" s="1296"/>
      <c r="M30" s="1296"/>
      <c r="N30" s="1296"/>
    </row>
    <row r="31" spans="2:14" x14ac:dyDescent="0.2">
      <c r="B31" s="1296"/>
      <c r="C31" s="1296"/>
      <c r="D31" s="1296"/>
      <c r="E31" s="1296"/>
      <c r="F31" s="1296"/>
      <c r="G31" s="1296"/>
      <c r="H31" s="1296"/>
      <c r="I31" s="1296"/>
      <c r="J31" s="1296"/>
      <c r="K31" s="1296"/>
      <c r="L31" s="1296"/>
      <c r="M31" s="1296"/>
      <c r="N31" s="1296"/>
    </row>
    <row r="32" spans="2:14" x14ac:dyDescent="0.2">
      <c r="B32" s="1296"/>
      <c r="C32" s="1296"/>
      <c r="D32" s="1296"/>
      <c r="E32" s="1296"/>
      <c r="F32" s="1296"/>
      <c r="G32" s="1296"/>
      <c r="H32" s="1296"/>
      <c r="I32" s="1296"/>
      <c r="J32" s="1296"/>
      <c r="K32" s="1296"/>
      <c r="L32" s="1296"/>
      <c r="M32" s="1296"/>
      <c r="N32" s="1296"/>
    </row>
    <row r="33" spans="1:15" x14ac:dyDescent="0.2">
      <c r="B33" s="1296"/>
      <c r="C33" s="1296"/>
      <c r="D33" s="1296"/>
      <c r="E33" s="1296"/>
      <c r="F33" s="1296"/>
      <c r="G33" s="1296"/>
      <c r="H33" s="1296"/>
      <c r="I33" s="1296"/>
      <c r="J33" s="1296"/>
      <c r="K33" s="1296"/>
      <c r="L33" s="1296"/>
      <c r="M33" s="1296"/>
      <c r="N33" s="1296"/>
    </row>
    <row r="34" spans="1:15" x14ac:dyDescent="0.2">
      <c r="B34" s="1220"/>
      <c r="C34" s="1220"/>
      <c r="D34" s="1220"/>
      <c r="E34" s="1220"/>
      <c r="F34" s="1220"/>
      <c r="G34" s="1220"/>
      <c r="H34" s="1220"/>
      <c r="I34" s="1220"/>
      <c r="J34" s="1220"/>
      <c r="K34" s="1220"/>
      <c r="L34" s="1220"/>
      <c r="M34" s="1220"/>
      <c r="N34" s="1220"/>
    </row>
    <row r="35" spans="1:15" x14ac:dyDescent="0.2">
      <c r="B35" s="1220" t="s">
        <v>54</v>
      </c>
      <c r="C35" s="1220"/>
      <c r="D35" s="1220"/>
      <c r="E35" s="1220"/>
      <c r="F35" s="1220"/>
      <c r="G35" s="1220"/>
      <c r="H35" s="1220"/>
      <c r="I35" s="1220"/>
      <c r="J35" s="1220"/>
      <c r="K35" s="1220"/>
      <c r="L35" s="1220"/>
      <c r="M35" s="1220"/>
      <c r="N35" s="1220"/>
    </row>
    <row r="37" spans="1:15" ht="18.75" customHeight="1" x14ac:dyDescent="0.25">
      <c r="B37" s="1291" t="s">
        <v>55</v>
      </c>
      <c r="C37" s="1291"/>
      <c r="D37" s="1291"/>
      <c r="E37" s="1291"/>
      <c r="H37" s="1291" t="s">
        <v>56</v>
      </c>
      <c r="I37" s="1291"/>
      <c r="J37" s="1291"/>
      <c r="L37" s="1218"/>
      <c r="M37" s="1218"/>
      <c r="N37" s="1218"/>
    </row>
    <row r="38" spans="1:15" ht="12.75" customHeight="1" x14ac:dyDescent="0.25">
      <c r="B38" s="1291"/>
      <c r="C38" s="1291"/>
      <c r="D38" s="1291"/>
      <c r="E38" s="1291"/>
      <c r="H38" s="1291"/>
      <c r="I38" s="1291"/>
      <c r="J38" s="1291"/>
      <c r="L38" s="1295" t="s">
        <v>57</v>
      </c>
      <c r="M38" s="1295"/>
      <c r="N38" s="1295"/>
    </row>
    <row r="39" spans="1:15" ht="6.75" customHeight="1" x14ac:dyDescent="0.2"/>
    <row r="40" spans="1:15" x14ac:dyDescent="0.2">
      <c r="A40" s="911"/>
      <c r="C40" s="1294" t="s">
        <v>58</v>
      </c>
      <c r="D40" s="1294"/>
      <c r="E40" s="1294"/>
      <c r="H40" s="1293" t="s">
        <v>59</v>
      </c>
      <c r="I40" s="1293"/>
      <c r="J40" s="1293"/>
      <c r="L40" s="1292" t="s">
        <v>60</v>
      </c>
      <c r="M40" s="1292"/>
      <c r="N40" s="1292"/>
    </row>
    <row r="43" spans="1:15" ht="12.75" customHeight="1" x14ac:dyDescent="0.2">
      <c r="A43" s="911"/>
      <c r="B43" s="1288" t="s">
        <v>61</v>
      </c>
      <c r="C43" s="1289"/>
      <c r="D43" s="1289"/>
      <c r="E43" s="1289"/>
      <c r="F43" s="1289"/>
      <c r="G43" s="1289"/>
      <c r="H43" s="1289"/>
      <c r="I43" s="1289"/>
      <c r="J43" s="1289"/>
      <c r="K43" s="1289"/>
      <c r="L43" s="1289"/>
      <c r="M43" s="1289"/>
      <c r="N43" s="1289"/>
      <c r="O43" s="1289"/>
    </row>
    <row r="44" spans="1:15" x14ac:dyDescent="0.2">
      <c r="A44" s="911"/>
      <c r="B44" s="1289"/>
      <c r="C44" s="1289"/>
      <c r="D44" s="1289"/>
      <c r="E44" s="1289"/>
      <c r="F44" s="1289"/>
      <c r="G44" s="1289"/>
      <c r="H44" s="1289"/>
      <c r="I44" s="1289"/>
      <c r="J44" s="1289"/>
      <c r="K44" s="1289"/>
      <c r="L44" s="1289"/>
      <c r="M44" s="1289"/>
      <c r="N44" s="1289"/>
      <c r="O44" s="1289"/>
    </row>
    <row r="45" spans="1:15" x14ac:dyDescent="0.2">
      <c r="A45" s="911"/>
      <c r="B45" s="1289"/>
      <c r="C45" s="1289"/>
      <c r="D45" s="1289"/>
      <c r="E45" s="1289"/>
      <c r="F45" s="1289"/>
      <c r="G45" s="1289"/>
      <c r="H45" s="1289"/>
      <c r="I45" s="1289"/>
      <c r="J45" s="1289"/>
      <c r="K45" s="1289"/>
      <c r="L45" s="1289"/>
      <c r="M45" s="1289"/>
      <c r="N45" s="1289"/>
      <c r="O45" s="1289"/>
    </row>
    <row r="46" spans="1:15" x14ac:dyDescent="0.2">
      <c r="A46" s="911"/>
    </row>
    <row r="47" spans="1:15" x14ac:dyDescent="0.2">
      <c r="A47" s="911"/>
    </row>
    <row r="48" spans="1:15" x14ac:dyDescent="0.2">
      <c r="A48" s="911"/>
    </row>
    <row r="49" spans="1:1" x14ac:dyDescent="0.2">
      <c r="A49" s="911"/>
    </row>
    <row r="50" spans="1:1" x14ac:dyDescent="0.2">
      <c r="A50" s="911"/>
    </row>
    <row r="51" spans="1:1" x14ac:dyDescent="0.2">
      <c r="A51" s="911"/>
    </row>
  </sheetData>
  <sheetProtection password="CC4B" sheet="1"/>
  <mergeCells count="9">
    <mergeCell ref="B43:O45"/>
    <mergeCell ref="B4:M4"/>
    <mergeCell ref="B37:E38"/>
    <mergeCell ref="L40:N40"/>
    <mergeCell ref="H40:J40"/>
    <mergeCell ref="C40:E40"/>
    <mergeCell ref="H37:J38"/>
    <mergeCell ref="L38:N38"/>
    <mergeCell ref="B14:N33"/>
  </mergeCells>
  <phoneticPr fontId="0" type="noConversion"/>
  <hyperlinks>
    <hyperlink ref="C8" r:id="rId1" xr:uid="{00000000-0004-0000-0100-000000000000}"/>
  </hyperlinks>
  <pageMargins left="0.75" right="0.75" top="1" bottom="1" header="0" footer="0"/>
  <pageSetup paperSize="9" orientation="portrait" horizontalDpi="200" verticalDpi="2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FFFFCC"/>
    <pageSetUpPr fitToPage="1"/>
  </sheetPr>
  <dimension ref="A1:P64"/>
  <sheetViews>
    <sheetView showGridLines="0" topLeftCell="A30" workbookViewId="0">
      <selection activeCell="L60" sqref="L60"/>
    </sheetView>
  </sheetViews>
  <sheetFormatPr baseColWidth="10" defaultColWidth="11.42578125" defaultRowHeight="11.25" x14ac:dyDescent="0.2"/>
  <cols>
    <col min="1" max="1" width="11.42578125" style="7"/>
    <col min="2" max="2" width="5.28515625" style="7" customWidth="1"/>
    <col min="3" max="3" width="46.85546875" style="7" customWidth="1"/>
    <col min="4" max="4" width="14.5703125" style="7" customWidth="1"/>
    <col min="5" max="5" width="11.42578125" style="9" customWidth="1"/>
    <col min="6" max="6" width="15.140625" style="7" customWidth="1"/>
    <col min="7" max="7" width="7.85546875" style="7" customWidth="1"/>
    <col min="8" max="8" width="13.42578125" style="7" customWidth="1"/>
    <col min="9" max="9" width="7.28515625" style="7" customWidth="1"/>
    <col min="10" max="10" width="12.85546875" style="7" customWidth="1"/>
    <col min="11" max="11" width="7.5703125" style="7" customWidth="1"/>
    <col min="12" max="12" width="10.140625" style="7" customWidth="1"/>
    <col min="13" max="13" width="28" style="7" hidden="1" customWidth="1"/>
    <col min="14" max="15" width="8.28515625" style="7" hidden="1" customWidth="1"/>
    <col min="16" max="16" width="10.7109375" style="7" hidden="1" customWidth="1"/>
    <col min="17" max="17" width="9.7109375" style="7" customWidth="1"/>
    <col min="18" max="18" width="8.28515625" style="7" customWidth="1"/>
    <col min="19" max="19" width="8.140625" style="7" customWidth="1"/>
    <col min="20" max="20" width="7.85546875" style="7" customWidth="1"/>
    <col min="21" max="21" width="7.42578125" style="7" customWidth="1"/>
    <col min="22" max="16384" width="11.42578125" style="7"/>
  </cols>
  <sheetData>
    <row r="1" spans="1:16" hidden="1" x14ac:dyDescent="0.2">
      <c r="A1" s="716"/>
      <c r="B1" s="716"/>
      <c r="D1" s="503">
        <v>0</v>
      </c>
      <c r="E1" s="503">
        <v>1</v>
      </c>
      <c r="F1" s="503">
        <v>2</v>
      </c>
      <c r="G1" s="503">
        <v>3</v>
      </c>
      <c r="H1" s="503">
        <v>4</v>
      </c>
      <c r="I1" s="503">
        <v>5</v>
      </c>
      <c r="J1" s="503">
        <v>6</v>
      </c>
      <c r="K1" s="503">
        <v>7</v>
      </c>
      <c r="L1" s="503">
        <v>8</v>
      </c>
      <c r="M1" s="503">
        <v>9</v>
      </c>
      <c r="N1" s="503">
        <v>10</v>
      </c>
      <c r="O1" s="503">
        <v>11</v>
      </c>
      <c r="P1" s="503">
        <v>12</v>
      </c>
    </row>
    <row r="2" spans="1:16" ht="15.75" customHeight="1" x14ac:dyDescent="0.2">
      <c r="D2" s="503"/>
      <c r="E2" s="503"/>
      <c r="F2" s="503"/>
      <c r="G2" s="503"/>
      <c r="H2" s="503"/>
      <c r="I2" s="503"/>
      <c r="J2" s="503"/>
      <c r="K2" s="503"/>
      <c r="L2" s="503"/>
      <c r="M2" s="503"/>
      <c r="N2" s="503"/>
      <c r="O2" s="503"/>
      <c r="P2" s="503"/>
    </row>
    <row r="3" spans="1:16" x14ac:dyDescent="0.2">
      <c r="D3" s="503"/>
      <c r="E3" s="503"/>
      <c r="F3" s="503"/>
      <c r="G3" s="503"/>
      <c r="H3" s="503"/>
      <c r="I3" s="503"/>
      <c r="J3" s="503"/>
      <c r="K3" s="503"/>
      <c r="L3" s="503"/>
      <c r="M3" s="503"/>
      <c r="N3" s="503"/>
      <c r="O3" s="503"/>
      <c r="P3" s="503"/>
    </row>
    <row r="4" spans="1:16" ht="15.75" x14ac:dyDescent="0.25">
      <c r="B4" s="138" t="s">
        <v>62</v>
      </c>
      <c r="D4" s="8"/>
    </row>
    <row r="5" spans="1:16" ht="16.5" thickBot="1" x14ac:dyDescent="0.3">
      <c r="C5" s="138"/>
      <c r="D5" s="8"/>
    </row>
    <row r="6" spans="1:16" ht="22.5" customHeight="1" thickTop="1" thickBot="1" x14ac:dyDescent="0.25">
      <c r="C6" s="1304" t="s">
        <v>63</v>
      </c>
      <c r="D6" s="1305"/>
      <c r="E6" s="504" t="s">
        <v>64</v>
      </c>
    </row>
    <row r="7" spans="1:16" ht="22.5" customHeight="1" thickTop="1" x14ac:dyDescent="0.2">
      <c r="C7" s="505"/>
      <c r="D7" s="505"/>
      <c r="E7" s="504"/>
    </row>
    <row r="8" spans="1:16" ht="15" hidden="1" customHeight="1" thickTop="1" thickBot="1" x14ac:dyDescent="0.25">
      <c r="A8" s="1159" t="s">
        <v>65</v>
      </c>
      <c r="C8" s="1304" t="s">
        <v>66</v>
      </c>
      <c r="D8" s="1305"/>
      <c r="E8" s="504" t="s">
        <v>67</v>
      </c>
    </row>
    <row r="9" spans="1:16" ht="22.5" customHeight="1" thickBot="1" x14ac:dyDescent="0.25">
      <c r="C9" s="505"/>
      <c r="D9" s="505"/>
      <c r="M9" s="1158" t="s">
        <v>68</v>
      </c>
    </row>
    <row r="10" spans="1:16" ht="12.75" thickTop="1" thickBot="1" x14ac:dyDescent="0.25">
      <c r="C10" s="8" t="s">
        <v>69</v>
      </c>
      <c r="D10" s="512">
        <v>43831</v>
      </c>
      <c r="E10" s="1311" t="s">
        <v>70</v>
      </c>
      <c r="F10" s="1312"/>
      <c r="G10" s="1312"/>
      <c r="H10" s="1312"/>
      <c r="I10" s="1312"/>
      <c r="J10" s="1312"/>
      <c r="M10" s="1160" t="s">
        <v>71</v>
      </c>
      <c r="N10" s="1215">
        <f>DATE(YEAR(D10),MONTH(D10),DAY(1))</f>
        <v>43831</v>
      </c>
      <c r="O10" s="1216">
        <f>MONTH(N10)</f>
        <v>1</v>
      </c>
      <c r="P10" s="1217">
        <f>YEAR(N10)</f>
        <v>2020</v>
      </c>
    </row>
    <row r="11" spans="1:16" ht="12" thickTop="1" x14ac:dyDescent="0.2">
      <c r="E11" s="1312"/>
      <c r="F11" s="1312"/>
      <c r="G11" s="1312"/>
      <c r="H11" s="1312"/>
      <c r="I11" s="1312"/>
      <c r="J11" s="1312"/>
      <c r="M11" s="953" t="s">
        <v>72</v>
      </c>
    </row>
    <row r="12" spans="1:16" x14ac:dyDescent="0.2">
      <c r="E12" s="1312"/>
      <c r="F12" s="1312"/>
      <c r="G12" s="1312"/>
      <c r="H12" s="1312"/>
      <c r="I12" s="1312"/>
      <c r="J12" s="1312"/>
      <c r="M12" s="953" t="s">
        <v>73</v>
      </c>
    </row>
    <row r="13" spans="1:16" x14ac:dyDescent="0.2">
      <c r="M13" s="953" t="s">
        <v>74</v>
      </c>
    </row>
    <row r="14" spans="1:16" ht="15.75" x14ac:dyDescent="0.25">
      <c r="B14" s="138" t="s">
        <v>75</v>
      </c>
      <c r="M14" s="953" t="s">
        <v>76</v>
      </c>
    </row>
    <row r="15" spans="1:16" ht="12" thickBot="1" x14ac:dyDescent="0.25">
      <c r="E15" s="506" t="s">
        <v>77</v>
      </c>
      <c r="M15" s="953" t="s">
        <v>78</v>
      </c>
    </row>
    <row r="16" spans="1:16" ht="12.75" thickTop="1" thickBot="1" x14ac:dyDescent="0.25">
      <c r="C16" s="8" t="s">
        <v>79</v>
      </c>
      <c r="D16" s="718">
        <v>0.21</v>
      </c>
      <c r="E16" s="506" t="s">
        <v>80</v>
      </c>
      <c r="M16" s="953" t="s">
        <v>81</v>
      </c>
    </row>
    <row r="17" spans="2:13" ht="12" thickTop="1" x14ac:dyDescent="0.2">
      <c r="C17" s="8"/>
      <c r="D17" s="1192"/>
      <c r="M17" s="953"/>
    </row>
    <row r="18" spans="2:13" ht="12" thickBot="1" x14ac:dyDescent="0.25">
      <c r="C18" s="8"/>
      <c r="D18" s="1192"/>
      <c r="E18" s="506"/>
      <c r="M18" s="953"/>
    </row>
    <row r="19" spans="2:13" ht="12.75" thickTop="1" thickBot="1" x14ac:dyDescent="0.25">
      <c r="C19" s="8" t="s">
        <v>82</v>
      </c>
      <c r="D19" s="718">
        <v>0.21</v>
      </c>
      <c r="E19" s="506" t="s">
        <v>83</v>
      </c>
      <c r="M19" s="953"/>
    </row>
    <row r="20" spans="2:13" ht="12" thickTop="1" x14ac:dyDescent="0.2">
      <c r="C20" s="8"/>
      <c r="D20" s="1192"/>
      <c r="E20" s="506"/>
      <c r="M20" s="953"/>
    </row>
    <row r="21" spans="2:13" ht="12" thickBot="1" x14ac:dyDescent="0.25">
      <c r="C21" s="8"/>
      <c r="D21" s="507"/>
      <c r="M21" s="953" t="s">
        <v>84</v>
      </c>
    </row>
    <row r="22" spans="2:13" ht="12.75" thickTop="1" thickBot="1" x14ac:dyDescent="0.25">
      <c r="C22" s="8" t="s">
        <v>85</v>
      </c>
      <c r="D22" s="718">
        <v>0.21</v>
      </c>
      <c r="E22" s="506" t="s">
        <v>86</v>
      </c>
      <c r="M22" s="953" t="s">
        <v>87</v>
      </c>
    </row>
    <row r="23" spans="2:13" ht="12" thickTop="1" x14ac:dyDescent="0.2">
      <c r="D23" s="685"/>
      <c r="M23" s="953" t="s">
        <v>88</v>
      </c>
    </row>
    <row r="24" spans="2:13" x14ac:dyDescent="0.2">
      <c r="E24" s="7"/>
    </row>
    <row r="25" spans="2:13" x14ac:dyDescent="0.2">
      <c r="E25" s="7"/>
    </row>
    <row r="26" spans="2:13" ht="15.75" x14ac:dyDescent="0.25">
      <c r="B26" s="138" t="s">
        <v>89</v>
      </c>
    </row>
    <row r="27" spans="2:13" ht="30.75" customHeight="1" x14ac:dyDescent="0.25">
      <c r="B27" s="138"/>
    </row>
    <row r="28" spans="2:13" ht="18.75" customHeight="1" x14ac:dyDescent="0.25">
      <c r="C28" s="2"/>
      <c r="D28" s="1301" t="s">
        <v>90</v>
      </c>
      <c r="E28" s="1302"/>
      <c r="F28" s="1303"/>
      <c r="G28" s="1299" t="s">
        <v>91</v>
      </c>
    </row>
    <row r="29" spans="2:13" ht="19.5" customHeight="1" x14ac:dyDescent="0.2">
      <c r="D29" s="20">
        <f>YEAR(D10)</f>
        <v>2020</v>
      </c>
      <c r="E29" s="20">
        <f>YEAR(D10)+1</f>
        <v>2021</v>
      </c>
      <c r="F29" s="20">
        <f>YEAR(D10)+2</f>
        <v>2022</v>
      </c>
      <c r="G29" s="1300"/>
      <c r="H29" s="98"/>
      <c r="I29" s="153"/>
    </row>
    <row r="30" spans="2:13" x14ac:dyDescent="0.2">
      <c r="C30" s="508" t="s">
        <v>92</v>
      </c>
      <c r="D30" s="273">
        <v>0.15</v>
      </c>
      <c r="E30" s="273">
        <v>0.15</v>
      </c>
      <c r="F30" s="273">
        <v>0.25</v>
      </c>
      <c r="G30" s="273">
        <v>0.18</v>
      </c>
      <c r="H30" s="704"/>
      <c r="I30" s="705"/>
    </row>
    <row r="31" spans="2:13" x14ac:dyDescent="0.2">
      <c r="C31" s="510"/>
      <c r="E31" s="511"/>
      <c r="G31" s="511"/>
      <c r="I31" s="511"/>
    </row>
    <row r="32" spans="2:13" x14ac:dyDescent="0.2">
      <c r="C32" s="510"/>
      <c r="E32" s="511"/>
      <c r="G32" s="511"/>
      <c r="I32" s="511"/>
    </row>
    <row r="33" spans="3:13" ht="38.25" customHeight="1" x14ac:dyDescent="0.25">
      <c r="C33" s="2"/>
      <c r="D33" s="1310" t="s">
        <v>93</v>
      </c>
      <c r="E33" s="1310"/>
      <c r="F33" s="1310"/>
      <c r="G33" s="1310"/>
      <c r="H33" s="1310"/>
      <c r="I33" s="1310"/>
      <c r="J33" s="1310"/>
    </row>
    <row r="34" spans="3:13" x14ac:dyDescent="0.2">
      <c r="C34" s="1308" t="s">
        <v>94</v>
      </c>
      <c r="D34" s="1306" t="s">
        <v>95</v>
      </c>
      <c r="E34" s="1307"/>
      <c r="F34" s="1306" t="s">
        <v>96</v>
      </c>
      <c r="G34" s="1307"/>
      <c r="H34" s="1306" t="s">
        <v>97</v>
      </c>
      <c r="I34" s="1307"/>
      <c r="J34" s="1299" t="s">
        <v>98</v>
      </c>
      <c r="M34" s="98"/>
    </row>
    <row r="35" spans="3:13" x14ac:dyDescent="0.2">
      <c r="C35" s="1309"/>
      <c r="D35" s="105" t="s">
        <v>99</v>
      </c>
      <c r="E35" s="20" t="s">
        <v>100</v>
      </c>
      <c r="F35" s="105" t="s">
        <v>99</v>
      </c>
      <c r="G35" s="20" t="s">
        <v>100</v>
      </c>
      <c r="H35" s="105" t="s">
        <v>99</v>
      </c>
      <c r="I35" s="20" t="s">
        <v>100</v>
      </c>
      <c r="J35" s="1300"/>
      <c r="M35" s="153"/>
    </row>
    <row r="36" spans="3:13" x14ac:dyDescent="0.2">
      <c r="C36" s="509" t="s">
        <v>101</v>
      </c>
      <c r="D36" s="743"/>
      <c r="E36" s="273"/>
      <c r="F36" s="743"/>
      <c r="G36" s="273"/>
      <c r="H36" s="743"/>
      <c r="I36" s="273"/>
      <c r="J36" s="273">
        <v>0.2</v>
      </c>
      <c r="M36" s="705"/>
    </row>
    <row r="37" spans="3:13" x14ac:dyDescent="0.2">
      <c r="C37" s="510"/>
      <c r="E37" s="511"/>
      <c r="G37" s="511"/>
      <c r="I37" s="511"/>
    </row>
    <row r="38" spans="3:13" hidden="1" x14ac:dyDescent="0.2">
      <c r="C38" s="510"/>
      <c r="D38" s="716">
        <f>D36+F30</f>
        <v>0.25</v>
      </c>
      <c r="E38" s="716">
        <f>F30+E36</f>
        <v>0.25</v>
      </c>
      <c r="F38" s="716">
        <f>F36+F30</f>
        <v>0.25</v>
      </c>
      <c r="G38" s="716">
        <f>F30+G36</f>
        <v>0.25</v>
      </c>
      <c r="H38" s="716">
        <f>H36+F30</f>
        <v>0.25</v>
      </c>
      <c r="I38" s="716">
        <f>F30+I36</f>
        <v>0.25</v>
      </c>
    </row>
    <row r="39" spans="3:13" x14ac:dyDescent="0.2">
      <c r="C39" s="510"/>
      <c r="E39" s="511"/>
      <c r="G39" s="511"/>
      <c r="I39" s="511"/>
    </row>
    <row r="40" spans="3:13" x14ac:dyDescent="0.2">
      <c r="C40" s="510"/>
      <c r="E40" s="511"/>
      <c r="G40" s="511"/>
      <c r="I40" s="511"/>
    </row>
    <row r="41" spans="3:13" x14ac:dyDescent="0.2">
      <c r="C41" s="510"/>
      <c r="D41" s="504" t="s">
        <v>102</v>
      </c>
      <c r="E41" s="511"/>
      <c r="G41" s="511"/>
      <c r="I41" s="511"/>
    </row>
    <row r="42" spans="3:13" x14ac:dyDescent="0.2">
      <c r="C42" s="510"/>
      <c r="D42" s="1306" t="s">
        <v>3</v>
      </c>
      <c r="E42" s="1307"/>
      <c r="F42" s="1241" t="s">
        <v>4</v>
      </c>
      <c r="G42" s="1242"/>
      <c r="H42" s="1241" t="s">
        <v>5</v>
      </c>
      <c r="I42" s="1242"/>
    </row>
    <row r="43" spans="3:13" x14ac:dyDescent="0.2">
      <c r="C43" s="508" t="s">
        <v>103</v>
      </c>
      <c r="D43" s="105" t="s">
        <v>99</v>
      </c>
      <c r="E43" s="20" t="s">
        <v>100</v>
      </c>
      <c r="F43" s="105" t="s">
        <v>99</v>
      </c>
      <c r="G43" s="20" t="s">
        <v>100</v>
      </c>
      <c r="H43" s="105" t="s">
        <v>99</v>
      </c>
      <c r="I43" s="20" t="s">
        <v>100</v>
      </c>
    </row>
    <row r="44" spans="3:13" x14ac:dyDescent="0.2">
      <c r="C44" s="509" t="s">
        <v>104</v>
      </c>
      <c r="D44" s="208"/>
      <c r="E44" s="273">
        <v>0.5</v>
      </c>
      <c r="F44" s="208"/>
      <c r="G44" s="273">
        <v>0.5</v>
      </c>
      <c r="H44" s="208"/>
      <c r="I44" s="273">
        <v>0.5</v>
      </c>
    </row>
    <row r="45" spans="3:13" x14ac:dyDescent="0.2">
      <c r="C45" s="1313" t="s">
        <v>105</v>
      </c>
      <c r="D45" s="1314"/>
      <c r="E45" s="1314"/>
      <c r="F45" s="1314"/>
      <c r="G45" s="1314"/>
      <c r="H45" s="1314"/>
      <c r="I45" s="1314"/>
    </row>
    <row r="46" spans="3:13" x14ac:dyDescent="0.2">
      <c r="C46" s="1315"/>
      <c r="D46" s="1315"/>
      <c r="E46" s="1315"/>
      <c r="F46" s="1315"/>
      <c r="G46" s="1315"/>
      <c r="H46" s="1315"/>
      <c r="I46" s="1315"/>
    </row>
    <row r="47" spans="3:13" ht="12.75" customHeight="1" x14ac:dyDescent="0.2">
      <c r="C47" s="1315"/>
      <c r="D47" s="1315"/>
      <c r="E47" s="1315"/>
      <c r="F47" s="1315"/>
      <c r="G47" s="1315"/>
      <c r="H47" s="1315"/>
      <c r="I47" s="1315"/>
    </row>
    <row r="48" spans="3:13" x14ac:dyDescent="0.2">
      <c r="C48" s="1315"/>
      <c r="D48" s="1315"/>
      <c r="E48" s="1315"/>
      <c r="F48" s="1315"/>
      <c r="G48" s="1315"/>
      <c r="H48" s="1315"/>
      <c r="I48" s="1315"/>
    </row>
    <row r="49" spans="2:9" x14ac:dyDescent="0.2">
      <c r="C49" s="1315"/>
      <c r="D49" s="1315"/>
      <c r="E49" s="1315"/>
      <c r="F49" s="1315"/>
      <c r="G49" s="1315"/>
      <c r="H49" s="1315"/>
      <c r="I49" s="1315"/>
    </row>
    <row r="52" spans="2:9" ht="15.75" x14ac:dyDescent="0.25">
      <c r="B52" s="138" t="s">
        <v>106</v>
      </c>
    </row>
    <row r="53" spans="2:9" ht="15.75" x14ac:dyDescent="0.25">
      <c r="C53" s="138"/>
    </row>
    <row r="54" spans="2:9" x14ac:dyDescent="0.2">
      <c r="C54" s="1065" t="s">
        <v>107</v>
      </c>
      <c r="D54" s="1297" t="s">
        <v>108</v>
      </c>
      <c r="E54" s="1298"/>
      <c r="F54" s="1298"/>
      <c r="G54" s="1298"/>
      <c r="H54" s="1298"/>
      <c r="I54" s="1298"/>
    </row>
    <row r="55" spans="2:9" x14ac:dyDescent="0.2">
      <c r="C55" s="1065" t="s">
        <v>109</v>
      </c>
      <c r="D55" s="1297"/>
      <c r="E55" s="1298"/>
      <c r="F55" s="1298"/>
      <c r="G55" s="1298"/>
      <c r="H55" s="1298"/>
      <c r="I55" s="1298"/>
    </row>
    <row r="56" spans="2:9" x14ac:dyDescent="0.2">
      <c r="C56" s="1065" t="s">
        <v>110</v>
      </c>
      <c r="D56" s="1297"/>
      <c r="E56" s="1298"/>
      <c r="F56" s="1298"/>
      <c r="G56" s="1298"/>
      <c r="H56" s="1298"/>
      <c r="I56" s="1298"/>
    </row>
    <row r="57" spans="2:9" x14ac:dyDescent="0.2">
      <c r="C57" s="1065"/>
      <c r="D57" s="1297"/>
      <c r="E57" s="1298"/>
      <c r="F57" s="1298"/>
      <c r="G57" s="1298"/>
      <c r="H57" s="1298"/>
      <c r="I57" s="1298"/>
    </row>
    <row r="58" spans="2:9" x14ac:dyDescent="0.2">
      <c r="C58" s="1065"/>
      <c r="D58" s="1297"/>
      <c r="E58" s="1298"/>
      <c r="F58" s="1298"/>
      <c r="G58" s="1298"/>
      <c r="H58" s="1298"/>
      <c r="I58" s="1298"/>
    </row>
    <row r="59" spans="2:9" x14ac:dyDescent="0.2">
      <c r="C59" s="1065"/>
      <c r="D59" s="1297"/>
      <c r="E59" s="1298"/>
      <c r="F59" s="1298"/>
      <c r="G59" s="1298"/>
      <c r="H59" s="1298"/>
      <c r="I59" s="1298"/>
    </row>
    <row r="60" spans="2:9" x14ac:dyDescent="0.2">
      <c r="C60" s="1065"/>
      <c r="D60" s="1297"/>
      <c r="E60" s="1298"/>
      <c r="F60" s="1298"/>
      <c r="G60" s="1298"/>
      <c r="H60" s="1298"/>
      <c r="I60" s="1298"/>
    </row>
    <row r="61" spans="2:9" x14ac:dyDescent="0.2">
      <c r="C61" s="1065"/>
      <c r="D61" s="1297"/>
      <c r="E61" s="1298"/>
      <c r="F61" s="1298"/>
      <c r="G61" s="1298"/>
      <c r="H61" s="1298"/>
      <c r="I61" s="1298"/>
    </row>
    <row r="62" spans="2:9" x14ac:dyDescent="0.2">
      <c r="C62" s="1065"/>
      <c r="D62" s="1297"/>
      <c r="E62" s="1298"/>
      <c r="F62" s="1298"/>
      <c r="G62" s="1298"/>
      <c r="H62" s="1298"/>
      <c r="I62" s="1298"/>
    </row>
    <row r="63" spans="2:9" ht="12" thickBot="1" x14ac:dyDescent="0.25">
      <c r="C63" s="1066"/>
      <c r="D63" s="1297"/>
      <c r="E63" s="1298"/>
      <c r="F63" s="1298"/>
      <c r="G63" s="1298"/>
      <c r="H63" s="1298"/>
      <c r="I63" s="1298"/>
    </row>
    <row r="64" spans="2:9" ht="12" thickTop="1" x14ac:dyDescent="0.2"/>
  </sheetData>
  <sheetProtection password="CC4B" sheet="1" objects="1" scenarios="1"/>
  <mergeCells count="14">
    <mergeCell ref="D54:I63"/>
    <mergeCell ref="G28:G29"/>
    <mergeCell ref="D28:F28"/>
    <mergeCell ref="C6:D6"/>
    <mergeCell ref="D42:E42"/>
    <mergeCell ref="C34:C35"/>
    <mergeCell ref="D33:J33"/>
    <mergeCell ref="J34:J35"/>
    <mergeCell ref="D34:E34"/>
    <mergeCell ref="F34:G34"/>
    <mergeCell ref="H34:I34"/>
    <mergeCell ref="C8:D8"/>
    <mergeCell ref="E10:J12"/>
    <mergeCell ref="C45:I49"/>
  </mergeCells>
  <phoneticPr fontId="0" type="noConversion"/>
  <dataValidations count="6">
    <dataValidation type="custom" allowBlank="1" showInputMessage="1" showErrorMessage="1" error="No puede indicar ninguna cifra ya que no es compatible con haber establecido un porcentaje en el Impuesto de Sociedades o como Estimación directa" sqref="D36 F36 H36" xr:uid="{00000000-0002-0000-0200-000000000000}">
      <formula1>E38=0</formula1>
    </dataValidation>
    <dataValidation type="custom" errorStyle="warning" allowBlank="1" showInputMessage="1" showErrorMessage="1" error="Ya ha indicado un porcentaje. Si mantiene ambas cifras, la distribución de resultados será la suma de ambas." sqref="H44 D44 F44" xr:uid="{00000000-0002-0000-0200-000001000000}">
      <formula1>E44=0</formula1>
    </dataValidation>
    <dataValidation type="custom" allowBlank="1" showInputMessage="1" showErrorMessage="1" error="No puede indicar ningún porcentaje ya que no es compatible con haber establecido un porcentaje en el Impuesto de Sociedades o una cifra concreta como estimación" sqref="I36 E36 G36" xr:uid="{00000000-0002-0000-0200-000002000000}">
      <formula1>D38=0</formula1>
    </dataValidation>
    <dataValidation type="decimal" allowBlank="1" showInputMessage="1" showErrorMessage="1" error="Debe incluir un porcentaje" sqref="F30:G30 D22 D16:D20 G44 E44 I44" xr:uid="{00000000-0002-0000-0200-000003000000}">
      <formula1>0</formula1>
      <formula2>100</formula2>
    </dataValidation>
    <dataValidation type="date" allowBlank="1" showInputMessage="1" showErrorMessage="1" error="Debe incluir una fecha válida" sqref="D10" xr:uid="{00000000-0002-0000-0200-000004000000}">
      <formula1>1</formula1>
      <formula2>401768</formula2>
    </dataValidation>
    <dataValidation type="list" allowBlank="1" showInputMessage="1" showErrorMessage="1" sqref="C8" xr:uid="{00000000-0002-0000-0200-000005000000}">
      <formula1>$M$10:$M$23</formula1>
    </dataValidation>
  </dataValidations>
  <pageMargins left="0.78740157480314965" right="0.78740157480314965" top="0.98425196850393704" bottom="0.98425196850393704" header="0" footer="0"/>
  <pageSetup paperSize="9" scale="74" fitToHeight="7"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0">
    <tabColor rgb="FFFFFFCC"/>
  </sheetPr>
  <dimension ref="B1:Y292"/>
  <sheetViews>
    <sheetView showGridLines="0" zoomScaleNormal="100" workbookViewId="0">
      <selection activeCell="G23" sqref="G23"/>
    </sheetView>
  </sheetViews>
  <sheetFormatPr baseColWidth="10" defaultColWidth="11.42578125" defaultRowHeight="12.75" x14ac:dyDescent="0.2"/>
  <cols>
    <col min="1" max="1" width="6.42578125" customWidth="1"/>
    <col min="2" max="2" width="2.5703125" customWidth="1"/>
    <col min="3" max="3" width="40.85546875" customWidth="1"/>
    <col min="4" max="4" width="11.28515625" style="58" customWidth="1"/>
    <col min="5" max="5" width="12" customWidth="1"/>
    <col min="6" max="6" width="12.42578125" customWidth="1"/>
    <col min="18" max="18" width="14" hidden="1" customWidth="1"/>
    <col min="19" max="19" width="16.140625" hidden="1" customWidth="1"/>
    <col min="20" max="20" width="9" hidden="1" customWidth="1"/>
    <col min="21" max="21" width="8.7109375" hidden="1" customWidth="1"/>
    <col min="22" max="22" width="8.140625" hidden="1" customWidth="1"/>
    <col min="23" max="23" width="5.5703125" style="822" hidden="1" customWidth="1"/>
    <col min="24" max="24" width="5.5703125" customWidth="1"/>
    <col min="25" max="25" width="6.140625" style="822" customWidth="1"/>
    <col min="26" max="26" width="3.85546875" customWidth="1"/>
  </cols>
  <sheetData>
    <row r="1" spans="3:25" s="1142" customFormat="1" x14ac:dyDescent="0.2">
      <c r="C1" s="1141">
        <f>'Datos generales'!$O$10</f>
        <v>1</v>
      </c>
      <c r="D1" s="1141">
        <v>1</v>
      </c>
      <c r="E1" s="1142">
        <v>2</v>
      </c>
      <c r="F1" s="1142">
        <v>3</v>
      </c>
      <c r="G1" s="1142">
        <v>4</v>
      </c>
      <c r="H1" s="1142">
        <v>5</v>
      </c>
      <c r="I1" s="1142">
        <v>6</v>
      </c>
      <c r="J1" s="1142">
        <v>7</v>
      </c>
      <c r="K1" s="1142">
        <v>8</v>
      </c>
      <c r="L1" s="1142">
        <v>9</v>
      </c>
      <c r="M1" s="1142">
        <v>10</v>
      </c>
      <c r="N1" s="1142">
        <v>11</v>
      </c>
      <c r="O1" s="1142">
        <v>12</v>
      </c>
      <c r="W1" s="1256"/>
      <c r="Y1" s="1256"/>
    </row>
    <row r="5" spans="3:25" hidden="1" x14ac:dyDescent="0.2">
      <c r="E5" s="7"/>
      <c r="F5" s="1257" t="s">
        <v>111</v>
      </c>
      <c r="G5" s="1258" t="s">
        <v>112</v>
      </c>
      <c r="H5" s="1258" t="s">
        <v>113</v>
      </c>
      <c r="W5" s="953"/>
      <c r="Y5" s="953"/>
    </row>
    <row r="6" spans="3:25" hidden="1" x14ac:dyDescent="0.2">
      <c r="F6" s="1259">
        <f>'Datos generales'!$D$10</f>
        <v>43831</v>
      </c>
      <c r="G6" s="1260">
        <f>MONTH(F6)</f>
        <v>1</v>
      </c>
      <c r="H6" s="1260">
        <f>YEAR(F6)</f>
        <v>2020</v>
      </c>
      <c r="W6" s="953"/>
      <c r="Y6" s="953"/>
    </row>
    <row r="7" spans="3:25" ht="12.75" customHeight="1" x14ac:dyDescent="0.2">
      <c r="C7" s="1316" t="s">
        <v>114</v>
      </c>
      <c r="D7" s="1317"/>
      <c r="E7" s="1317"/>
      <c r="F7" s="1317"/>
      <c r="G7" s="1317"/>
      <c r="H7" s="1317"/>
      <c r="I7" s="1317"/>
      <c r="J7" s="1317"/>
      <c r="K7" s="1317"/>
      <c r="L7" s="1317"/>
      <c r="M7" s="1317"/>
      <c r="N7" s="1317"/>
      <c r="O7" s="1317"/>
      <c r="P7" s="1318"/>
      <c r="W7" s="953"/>
      <c r="Y7" s="953"/>
    </row>
    <row r="8" spans="3:25" x14ac:dyDescent="0.2">
      <c r="C8" s="1319"/>
      <c r="D8" s="1320"/>
      <c r="E8" s="1320"/>
      <c r="F8" s="1320"/>
      <c r="G8" s="1320"/>
      <c r="H8" s="1320"/>
      <c r="I8" s="1320"/>
      <c r="J8" s="1320"/>
      <c r="K8" s="1320"/>
      <c r="L8" s="1320"/>
      <c r="M8" s="1320"/>
      <c r="N8" s="1320"/>
      <c r="O8" s="1320"/>
      <c r="P8" s="1321"/>
      <c r="W8" s="953"/>
      <c r="Y8" s="953"/>
    </row>
    <row r="9" spans="3:25" x14ac:dyDescent="0.2">
      <c r="C9" s="1319"/>
      <c r="D9" s="1320"/>
      <c r="E9" s="1320"/>
      <c r="F9" s="1320"/>
      <c r="G9" s="1320"/>
      <c r="H9" s="1320"/>
      <c r="I9" s="1320"/>
      <c r="J9" s="1320"/>
      <c r="K9" s="1320"/>
      <c r="L9" s="1320"/>
      <c r="M9" s="1320"/>
      <c r="N9" s="1320"/>
      <c r="O9" s="1320"/>
      <c r="P9" s="1321"/>
      <c r="W9" s="953"/>
      <c r="Y9" s="953"/>
    </row>
    <row r="10" spans="3:25" x14ac:dyDescent="0.2">
      <c r="C10" s="1319"/>
      <c r="D10" s="1320"/>
      <c r="E10" s="1320"/>
      <c r="F10" s="1320"/>
      <c r="G10" s="1320"/>
      <c r="H10" s="1320"/>
      <c r="I10" s="1320"/>
      <c r="J10" s="1320"/>
      <c r="K10" s="1320"/>
      <c r="L10" s="1320"/>
      <c r="M10" s="1320"/>
      <c r="N10" s="1320"/>
      <c r="O10" s="1320"/>
      <c r="P10" s="1321"/>
      <c r="W10" s="953"/>
      <c r="Y10" s="953"/>
    </row>
    <row r="11" spans="3:25" x14ac:dyDescent="0.2">
      <c r="C11" s="1319"/>
      <c r="D11" s="1320"/>
      <c r="E11" s="1320"/>
      <c r="F11" s="1320"/>
      <c r="G11" s="1320"/>
      <c r="H11" s="1320"/>
      <c r="I11" s="1320"/>
      <c r="J11" s="1320"/>
      <c r="K11" s="1320"/>
      <c r="L11" s="1320"/>
      <c r="M11" s="1320"/>
      <c r="N11" s="1320"/>
      <c r="O11" s="1320"/>
      <c r="P11" s="1321"/>
      <c r="W11" s="953"/>
      <c r="Y11" s="953"/>
    </row>
    <row r="12" spans="3:25" x14ac:dyDescent="0.2">
      <c r="C12" s="1319"/>
      <c r="D12" s="1320"/>
      <c r="E12" s="1320"/>
      <c r="F12" s="1320"/>
      <c r="G12" s="1320"/>
      <c r="H12" s="1320"/>
      <c r="I12" s="1320"/>
      <c r="J12" s="1320"/>
      <c r="K12" s="1320"/>
      <c r="L12" s="1320"/>
      <c r="M12" s="1320"/>
      <c r="N12" s="1320"/>
      <c r="O12" s="1320"/>
      <c r="P12" s="1321"/>
      <c r="W12" s="953"/>
      <c r="Y12" s="953"/>
    </row>
    <row r="13" spans="3:25" x14ac:dyDescent="0.2">
      <c r="C13" s="1319"/>
      <c r="D13" s="1320"/>
      <c r="E13" s="1320"/>
      <c r="F13" s="1320"/>
      <c r="G13" s="1320"/>
      <c r="H13" s="1320"/>
      <c r="I13" s="1320"/>
      <c r="J13" s="1320"/>
      <c r="K13" s="1320"/>
      <c r="L13" s="1320"/>
      <c r="M13" s="1320"/>
      <c r="N13" s="1320"/>
      <c r="O13" s="1320"/>
      <c r="P13" s="1321"/>
      <c r="W13" s="953"/>
      <c r="Y13" s="953"/>
    </row>
    <row r="14" spans="3:25" x14ac:dyDescent="0.2">
      <c r="C14" s="1319"/>
      <c r="D14" s="1320"/>
      <c r="E14" s="1320"/>
      <c r="F14" s="1320"/>
      <c r="G14" s="1320"/>
      <c r="H14" s="1320"/>
      <c r="I14" s="1320"/>
      <c r="J14" s="1320"/>
      <c r="K14" s="1320"/>
      <c r="L14" s="1320"/>
      <c r="M14" s="1320"/>
      <c r="N14" s="1320"/>
      <c r="O14" s="1320"/>
      <c r="P14" s="1321"/>
      <c r="W14" s="953"/>
      <c r="Y14" s="953"/>
    </row>
    <row r="15" spans="3:25" x14ac:dyDescent="0.2">
      <c r="C15" s="1319"/>
      <c r="D15" s="1320"/>
      <c r="E15" s="1320"/>
      <c r="F15" s="1320"/>
      <c r="G15" s="1320"/>
      <c r="H15" s="1320"/>
      <c r="I15" s="1320"/>
      <c r="J15" s="1320"/>
      <c r="K15" s="1320"/>
      <c r="L15" s="1320"/>
      <c r="M15" s="1320"/>
      <c r="N15" s="1320"/>
      <c r="O15" s="1320"/>
      <c r="P15" s="1321"/>
      <c r="W15" s="953"/>
      <c r="Y15" s="953"/>
    </row>
    <row r="16" spans="3:25" x14ac:dyDescent="0.2">
      <c r="C16" s="1319"/>
      <c r="D16" s="1320"/>
      <c r="E16" s="1320"/>
      <c r="F16" s="1320"/>
      <c r="G16" s="1320"/>
      <c r="H16" s="1320"/>
      <c r="I16" s="1320"/>
      <c r="J16" s="1320"/>
      <c r="K16" s="1320"/>
      <c r="L16" s="1320"/>
      <c r="M16" s="1320"/>
      <c r="N16" s="1320"/>
      <c r="O16" s="1320"/>
      <c r="P16" s="1321"/>
      <c r="W16" s="953"/>
      <c r="Y16" s="953"/>
    </row>
    <row r="17" spans="2:18" x14ac:dyDescent="0.2">
      <c r="C17" s="1319"/>
      <c r="D17" s="1320"/>
      <c r="E17" s="1320"/>
      <c r="F17" s="1320"/>
      <c r="G17" s="1320"/>
      <c r="H17" s="1320"/>
      <c r="I17" s="1320"/>
      <c r="J17" s="1320"/>
      <c r="K17" s="1320"/>
      <c r="L17" s="1320"/>
      <c r="M17" s="1320"/>
      <c r="N17" s="1320"/>
      <c r="O17" s="1320"/>
      <c r="P17" s="1321"/>
    </row>
    <row r="18" spans="2:18" x14ac:dyDescent="0.2">
      <c r="C18" s="1319"/>
      <c r="D18" s="1320"/>
      <c r="E18" s="1320"/>
      <c r="F18" s="1320"/>
      <c r="G18" s="1320"/>
      <c r="H18" s="1320"/>
      <c r="I18" s="1320"/>
      <c r="J18" s="1320"/>
      <c r="K18" s="1320"/>
      <c r="L18" s="1320"/>
      <c r="M18" s="1320"/>
      <c r="N18" s="1320"/>
      <c r="O18" s="1320"/>
      <c r="P18" s="1321"/>
    </row>
    <row r="19" spans="2:18" x14ac:dyDescent="0.2">
      <c r="C19" s="1319"/>
      <c r="D19" s="1320"/>
      <c r="E19" s="1320"/>
      <c r="F19" s="1320"/>
      <c r="G19" s="1320"/>
      <c r="H19" s="1320"/>
      <c r="I19" s="1320"/>
      <c r="J19" s="1320"/>
      <c r="K19" s="1320"/>
      <c r="L19" s="1320"/>
      <c r="M19" s="1320"/>
      <c r="N19" s="1320"/>
      <c r="O19" s="1320"/>
      <c r="P19" s="1321"/>
    </row>
    <row r="20" spans="2:18" x14ac:dyDescent="0.2">
      <c r="C20" s="1319"/>
      <c r="D20" s="1320"/>
      <c r="E20" s="1320"/>
      <c r="F20" s="1320"/>
      <c r="G20" s="1320"/>
      <c r="H20" s="1320"/>
      <c r="I20" s="1320"/>
      <c r="J20" s="1320"/>
      <c r="K20" s="1320"/>
      <c r="L20" s="1320"/>
      <c r="M20" s="1320"/>
      <c r="N20" s="1320"/>
      <c r="O20" s="1320"/>
      <c r="P20" s="1321"/>
    </row>
    <row r="21" spans="2:18" x14ac:dyDescent="0.2">
      <c r="C21" s="1322"/>
      <c r="D21" s="1323"/>
      <c r="E21" s="1323"/>
      <c r="F21" s="1323"/>
      <c r="G21" s="1323"/>
      <c r="H21" s="1323"/>
      <c r="I21" s="1323"/>
      <c r="J21" s="1323"/>
      <c r="K21" s="1323"/>
      <c r="L21" s="1323"/>
      <c r="M21" s="1323"/>
      <c r="N21" s="1323"/>
      <c r="O21" s="1323"/>
      <c r="P21" s="1324"/>
    </row>
    <row r="22" spans="2:18" x14ac:dyDescent="0.2">
      <c r="C22" s="1219"/>
      <c r="D22" s="1219"/>
      <c r="E22" s="1219"/>
      <c r="F22" s="1219"/>
      <c r="G22" s="1219"/>
      <c r="H22" s="1219"/>
      <c r="I22" s="1219"/>
      <c r="J22" s="1219"/>
      <c r="K22" s="1219"/>
      <c r="L22" s="1219"/>
      <c r="M22" s="1219"/>
      <c r="N22" s="1219"/>
      <c r="O22" s="1219"/>
      <c r="P22" s="1219"/>
    </row>
    <row r="23" spans="2:18" x14ac:dyDescent="0.2">
      <c r="C23" s="1219"/>
      <c r="D23" s="1219"/>
      <c r="E23" s="1219"/>
      <c r="F23" s="1219"/>
      <c r="G23" s="1219"/>
      <c r="H23" s="1219"/>
      <c r="I23" s="1219"/>
      <c r="J23" s="1219"/>
      <c r="K23" s="1219"/>
      <c r="L23" s="1219"/>
      <c r="M23" s="1219"/>
      <c r="N23" s="1219"/>
      <c r="O23" s="1219"/>
      <c r="P23" s="1219"/>
    </row>
    <row r="24" spans="2:18" x14ac:dyDescent="0.2">
      <c r="G24" s="58"/>
    </row>
    <row r="25" spans="2:18" ht="15.75" x14ac:dyDescent="0.25">
      <c r="B25" s="138" t="s">
        <v>115</v>
      </c>
    </row>
    <row r="28" spans="2:18" ht="15.75" x14ac:dyDescent="0.25">
      <c r="B28" s="138" t="s">
        <v>3</v>
      </c>
      <c r="C28" s="138"/>
      <c r="D28"/>
      <c r="E28" s="8"/>
      <c r="F28" s="1139"/>
      <c r="G28" s="7"/>
      <c r="H28" s="7"/>
      <c r="I28" s="7"/>
      <c r="J28" s="7"/>
      <c r="K28" s="7"/>
      <c r="L28" s="7"/>
      <c r="M28" s="7"/>
      <c r="N28" s="7"/>
      <c r="O28" s="7"/>
      <c r="P28" s="7"/>
      <c r="R28" s="616"/>
    </row>
    <row r="29" spans="2:18" x14ac:dyDescent="0.2">
      <c r="B29" s="689" t="s">
        <v>116</v>
      </c>
      <c r="C29" s="936"/>
      <c r="D29" s="105" t="s">
        <v>117</v>
      </c>
      <c r="E29" s="20" t="s">
        <v>118</v>
      </c>
      <c r="F29" s="105" t="s">
        <v>119</v>
      </c>
      <c r="G29" s="105" t="s">
        <v>120</v>
      </c>
      <c r="H29" s="105" t="s">
        <v>121</v>
      </c>
      <c r="I29" s="105" t="s">
        <v>122</v>
      </c>
      <c r="J29" s="105" t="s">
        <v>123</v>
      </c>
      <c r="K29" s="105" t="s">
        <v>124</v>
      </c>
      <c r="L29" s="105" t="s">
        <v>125</v>
      </c>
      <c r="M29" s="105" t="s">
        <v>126</v>
      </c>
      <c r="N29" s="105" t="s">
        <v>127</v>
      </c>
      <c r="O29" s="105" t="s">
        <v>128</v>
      </c>
      <c r="P29" s="105" t="s">
        <v>129</v>
      </c>
    </row>
    <row r="30" spans="2:18" x14ac:dyDescent="0.2">
      <c r="B30" s="1107" t="str">
        <f>'Datos generales'!C54</f>
        <v>Producto o servicio 1</v>
      </c>
      <c r="C30" s="1108"/>
      <c r="D30" s="1111"/>
      <c r="E30" s="1111"/>
      <c r="F30" s="1111"/>
      <c r="G30" s="1111"/>
      <c r="H30" s="1111"/>
      <c r="I30" s="1111"/>
      <c r="J30" s="1111"/>
      <c r="K30" s="1111"/>
      <c r="L30" s="1111"/>
      <c r="M30" s="1111"/>
      <c r="N30" s="1111"/>
      <c r="O30" s="1111"/>
      <c r="P30" s="53"/>
    </row>
    <row r="31" spans="2:18" x14ac:dyDescent="0.2">
      <c r="B31" s="1109"/>
      <c r="C31" s="937" t="s">
        <v>130</v>
      </c>
      <c r="D31" s="208"/>
      <c r="E31" s="208"/>
      <c r="F31" s="208"/>
      <c r="G31" s="208"/>
      <c r="H31" s="208"/>
      <c r="I31" s="208"/>
      <c r="J31" s="208"/>
      <c r="K31" s="208"/>
      <c r="L31" s="208"/>
      <c r="M31" s="208"/>
      <c r="N31" s="208"/>
      <c r="O31" s="208"/>
      <c r="P31" s="243">
        <f>SUM(D31:O31)</f>
        <v>0</v>
      </c>
    </row>
    <row r="32" spans="2:18" x14ac:dyDescent="0.2">
      <c r="B32" s="938"/>
      <c r="C32" s="939" t="s">
        <v>131</v>
      </c>
      <c r="D32" s="743"/>
      <c r="E32" s="743"/>
      <c r="F32" s="743"/>
      <c r="G32" s="743"/>
      <c r="H32" s="743"/>
      <c r="I32" s="743"/>
      <c r="J32" s="743"/>
      <c r="K32" s="743"/>
      <c r="L32" s="743"/>
      <c r="M32" s="743"/>
      <c r="N32" s="743"/>
      <c r="O32" s="743"/>
      <c r="P32" s="1140"/>
    </row>
    <row r="33" spans="2:19" x14ac:dyDescent="0.2">
      <c r="B33" s="148"/>
      <c r="C33" s="939" t="s">
        <v>132</v>
      </c>
      <c r="D33" s="940">
        <f>D31*D32</f>
        <v>0</v>
      </c>
      <c r="E33" s="940">
        <f>E31*E32</f>
        <v>0</v>
      </c>
      <c r="F33" s="940">
        <f>F31*F32</f>
        <v>0</v>
      </c>
      <c r="G33" s="940">
        <f>G31*G32</f>
        <v>0</v>
      </c>
      <c r="H33" s="940">
        <f t="shared" ref="H33:O33" si="0">H31*H32</f>
        <v>0</v>
      </c>
      <c r="I33" s="940">
        <f t="shared" si="0"/>
        <v>0</v>
      </c>
      <c r="J33" s="940">
        <f t="shared" si="0"/>
        <v>0</v>
      </c>
      <c r="K33" s="940">
        <f t="shared" si="0"/>
        <v>0</v>
      </c>
      <c r="L33" s="940">
        <f t="shared" si="0"/>
        <v>0</v>
      </c>
      <c r="M33" s="940">
        <f t="shared" si="0"/>
        <v>0</v>
      </c>
      <c r="N33" s="940">
        <f t="shared" si="0"/>
        <v>0</v>
      </c>
      <c r="O33" s="940">
        <f t="shared" si="0"/>
        <v>0</v>
      </c>
      <c r="P33" s="243">
        <f>SUM(D33:O33)</f>
        <v>0</v>
      </c>
    </row>
    <row r="34" spans="2:19" x14ac:dyDescent="0.2">
      <c r="B34" s="148"/>
      <c r="C34" s="941" t="s">
        <v>133</v>
      </c>
      <c r="D34" s="743"/>
      <c r="E34" s="743"/>
      <c r="F34" s="743"/>
      <c r="G34" s="743"/>
      <c r="H34" s="743"/>
      <c r="I34" s="743"/>
      <c r="J34" s="743"/>
      <c r="K34" s="743"/>
      <c r="L34" s="743"/>
      <c r="M34" s="743"/>
      <c r="N34" s="743"/>
      <c r="O34" s="743"/>
      <c r="P34" s="942"/>
    </row>
    <row r="35" spans="2:19" ht="13.5" thickBot="1" x14ac:dyDescent="0.25">
      <c r="B35" s="943"/>
      <c r="C35" s="944" t="s">
        <v>134</v>
      </c>
      <c r="D35" s="1173"/>
      <c r="E35" s="1173"/>
      <c r="F35" s="1173"/>
      <c r="G35" s="1173"/>
      <c r="H35" s="1173"/>
      <c r="I35" s="1173"/>
      <c r="J35" s="1173"/>
      <c r="K35" s="1173"/>
      <c r="L35" s="1173"/>
      <c r="M35" s="1173"/>
      <c r="N35" s="1173"/>
      <c r="O35" s="1173"/>
      <c r="P35" s="945">
        <f>SUM(D35:O35)</f>
        <v>0</v>
      </c>
    </row>
    <row r="36" spans="2:19" ht="13.5" thickTop="1" x14ac:dyDescent="0.2">
      <c r="B36" s="1107" t="str">
        <f>'Datos generales'!C55</f>
        <v>Producto o servicio 2</v>
      </c>
      <c r="C36" s="1108"/>
      <c r="D36" s="1174"/>
      <c r="E36" s="1175"/>
      <c r="F36" s="1175"/>
      <c r="G36" s="1175"/>
      <c r="H36" s="1175"/>
      <c r="I36" s="1175"/>
      <c r="J36" s="1175"/>
      <c r="K36" s="1175"/>
      <c r="L36" s="1175"/>
      <c r="M36" s="1175"/>
      <c r="N36" s="1175"/>
      <c r="O36" s="1175"/>
      <c r="P36" s="53"/>
    </row>
    <row r="37" spans="2:19" x14ac:dyDescent="0.2">
      <c r="B37" s="1109"/>
      <c r="C37" s="937" t="str">
        <f>C31</f>
        <v>Unidades a vender:</v>
      </c>
      <c r="D37" s="208"/>
      <c r="E37" s="208"/>
      <c r="F37" s="208"/>
      <c r="G37" s="208"/>
      <c r="H37" s="208"/>
      <c r="I37" s="208"/>
      <c r="J37" s="208"/>
      <c r="K37" s="208"/>
      <c r="L37" s="208"/>
      <c r="M37" s="208"/>
      <c r="N37" s="208"/>
      <c r="O37" s="208"/>
      <c r="P37" s="243">
        <f>SUM(D37:O37)</f>
        <v>0</v>
      </c>
    </row>
    <row r="38" spans="2:19" x14ac:dyDescent="0.2">
      <c r="B38" s="938"/>
      <c r="C38" s="937" t="str">
        <f>C32</f>
        <v>Precio unitario de venta:</v>
      </c>
      <c r="D38" s="743"/>
      <c r="E38" s="743"/>
      <c r="F38" s="743"/>
      <c r="G38" s="743"/>
      <c r="H38" s="743"/>
      <c r="I38" s="743"/>
      <c r="J38" s="743"/>
      <c r="K38" s="743"/>
      <c r="L38" s="743"/>
      <c r="M38" s="743"/>
      <c r="N38" s="743"/>
      <c r="O38" s="743"/>
      <c r="P38" s="1140"/>
    </row>
    <row r="39" spans="2:19" x14ac:dyDescent="0.2">
      <c r="B39" s="148"/>
      <c r="C39" s="937" t="str">
        <f>C33</f>
        <v>Ingresos previstos por ventas:</v>
      </c>
      <c r="D39" s="940">
        <f t="shared" ref="D39:O39" si="1">D37*D38</f>
        <v>0</v>
      </c>
      <c r="E39" s="940">
        <f t="shared" si="1"/>
        <v>0</v>
      </c>
      <c r="F39" s="940">
        <f t="shared" si="1"/>
        <v>0</v>
      </c>
      <c r="G39" s="940">
        <f t="shared" si="1"/>
        <v>0</v>
      </c>
      <c r="H39" s="940">
        <f t="shared" si="1"/>
        <v>0</v>
      </c>
      <c r="I39" s="940">
        <f t="shared" si="1"/>
        <v>0</v>
      </c>
      <c r="J39" s="940">
        <f t="shared" si="1"/>
        <v>0</v>
      </c>
      <c r="K39" s="940">
        <f t="shared" si="1"/>
        <v>0</v>
      </c>
      <c r="L39" s="940">
        <f t="shared" si="1"/>
        <v>0</v>
      </c>
      <c r="M39" s="940">
        <f t="shared" si="1"/>
        <v>0</v>
      </c>
      <c r="N39" s="940">
        <f t="shared" si="1"/>
        <v>0</v>
      </c>
      <c r="O39" s="940">
        <f t="shared" si="1"/>
        <v>0</v>
      </c>
      <c r="P39" s="243">
        <f>SUM(D39:O39)</f>
        <v>0</v>
      </c>
    </row>
    <row r="40" spans="2:19" x14ac:dyDescent="0.2">
      <c r="B40" s="148"/>
      <c r="C40" s="937" t="str">
        <f>C34</f>
        <v>Precio unitario de compras:</v>
      </c>
      <c r="D40" s="743"/>
      <c r="E40" s="743"/>
      <c r="F40" s="743"/>
      <c r="G40" s="743"/>
      <c r="H40" s="743"/>
      <c r="I40" s="743"/>
      <c r="J40" s="743"/>
      <c r="K40" s="743"/>
      <c r="L40" s="743"/>
      <c r="M40" s="743"/>
      <c r="N40" s="743"/>
      <c r="O40" s="743"/>
      <c r="P40" s="942"/>
    </row>
    <row r="41" spans="2:19" ht="13.5" thickBot="1" x14ac:dyDescent="0.25">
      <c r="B41" s="943"/>
      <c r="C41" s="944" t="str">
        <f>C35</f>
        <v>Otros costes directos imputables al producto/servicio</v>
      </c>
      <c r="D41" s="1173"/>
      <c r="E41" s="1173"/>
      <c r="F41" s="1173"/>
      <c r="G41" s="1173"/>
      <c r="H41" s="1173"/>
      <c r="I41" s="1173"/>
      <c r="J41" s="1173"/>
      <c r="K41" s="1173"/>
      <c r="L41" s="1173"/>
      <c r="M41" s="1173"/>
      <c r="N41" s="1173"/>
      <c r="O41" s="1173"/>
      <c r="P41" s="945">
        <f>SUM(D41:O41)</f>
        <v>0</v>
      </c>
    </row>
    <row r="42" spans="2:19" ht="13.5" thickTop="1" x14ac:dyDescent="0.2">
      <c r="B42" s="1107" t="str">
        <f>'Datos generales'!C56</f>
        <v>Producto o servicio 3</v>
      </c>
      <c r="C42" s="1108"/>
      <c r="D42" s="1174"/>
      <c r="E42" s="1175"/>
      <c r="F42" s="1175"/>
      <c r="G42" s="1175"/>
      <c r="H42" s="1175"/>
      <c r="I42" s="1175"/>
      <c r="J42" s="1175"/>
      <c r="K42" s="1175"/>
      <c r="L42" s="1175"/>
      <c r="M42" s="1175"/>
      <c r="N42" s="1175"/>
      <c r="O42" s="1175"/>
      <c r="P42" s="53"/>
      <c r="S42" s="1064"/>
    </row>
    <row r="43" spans="2:19" x14ac:dyDescent="0.2">
      <c r="B43" s="1109"/>
      <c r="C43" s="937" t="str">
        <f>C37</f>
        <v>Unidades a vender:</v>
      </c>
      <c r="D43" s="208"/>
      <c r="E43" s="208"/>
      <c r="F43" s="208"/>
      <c r="G43" s="208"/>
      <c r="H43" s="208"/>
      <c r="I43" s="208"/>
      <c r="J43" s="208"/>
      <c r="K43" s="208"/>
      <c r="L43" s="208"/>
      <c r="M43" s="208"/>
      <c r="N43" s="208"/>
      <c r="O43" s="208"/>
      <c r="P43" s="243">
        <f>SUM(D43:O43)</f>
        <v>0</v>
      </c>
    </row>
    <row r="44" spans="2:19" x14ac:dyDescent="0.2">
      <c r="B44" s="938"/>
      <c r="C44" s="937" t="str">
        <f>C38</f>
        <v>Precio unitario de venta:</v>
      </c>
      <c r="D44" s="743"/>
      <c r="E44" s="743"/>
      <c r="F44" s="743"/>
      <c r="G44" s="743"/>
      <c r="H44" s="743"/>
      <c r="I44" s="743"/>
      <c r="J44" s="743"/>
      <c r="K44" s="743"/>
      <c r="L44" s="743"/>
      <c r="M44" s="743"/>
      <c r="N44" s="743"/>
      <c r="O44" s="743"/>
      <c r="P44" s="1140"/>
    </row>
    <row r="45" spans="2:19" x14ac:dyDescent="0.2">
      <c r="B45" s="148"/>
      <c r="C45" s="937" t="str">
        <f>C39</f>
        <v>Ingresos previstos por ventas:</v>
      </c>
      <c r="D45" s="940">
        <f t="shared" ref="D45:O45" si="2">D43*D44</f>
        <v>0</v>
      </c>
      <c r="E45" s="940">
        <f t="shared" si="2"/>
        <v>0</v>
      </c>
      <c r="F45" s="940">
        <f t="shared" si="2"/>
        <v>0</v>
      </c>
      <c r="G45" s="940">
        <f t="shared" si="2"/>
        <v>0</v>
      </c>
      <c r="H45" s="940">
        <f t="shared" si="2"/>
        <v>0</v>
      </c>
      <c r="I45" s="940">
        <f t="shared" si="2"/>
        <v>0</v>
      </c>
      <c r="J45" s="940">
        <f t="shared" si="2"/>
        <v>0</v>
      </c>
      <c r="K45" s="940">
        <f t="shared" si="2"/>
        <v>0</v>
      </c>
      <c r="L45" s="940">
        <f t="shared" si="2"/>
        <v>0</v>
      </c>
      <c r="M45" s="940">
        <f t="shared" si="2"/>
        <v>0</v>
      </c>
      <c r="N45" s="940">
        <f t="shared" si="2"/>
        <v>0</v>
      </c>
      <c r="O45" s="940">
        <f t="shared" si="2"/>
        <v>0</v>
      </c>
      <c r="P45" s="243">
        <f>SUM(D45:O45)</f>
        <v>0</v>
      </c>
    </row>
    <row r="46" spans="2:19" x14ac:dyDescent="0.2">
      <c r="B46" s="148"/>
      <c r="C46" s="937" t="str">
        <f>C40</f>
        <v>Precio unitario de compras:</v>
      </c>
      <c r="D46" s="743"/>
      <c r="E46" s="743"/>
      <c r="F46" s="743"/>
      <c r="G46" s="743"/>
      <c r="H46" s="743"/>
      <c r="I46" s="743"/>
      <c r="J46" s="743"/>
      <c r="K46" s="743"/>
      <c r="L46" s="743"/>
      <c r="M46" s="743"/>
      <c r="N46" s="743"/>
      <c r="O46" s="743"/>
      <c r="P46" s="942"/>
    </row>
    <row r="47" spans="2:19" ht="13.5" thickBot="1" x14ac:dyDescent="0.25">
      <c r="B47" s="943"/>
      <c r="C47" s="944" t="str">
        <f>C41</f>
        <v>Otros costes directos imputables al producto/servicio</v>
      </c>
      <c r="D47" s="1173"/>
      <c r="E47" s="1173"/>
      <c r="F47" s="1173"/>
      <c r="G47" s="1173"/>
      <c r="H47" s="1173"/>
      <c r="I47" s="1173"/>
      <c r="J47" s="1173"/>
      <c r="K47" s="1173"/>
      <c r="L47" s="1173"/>
      <c r="M47" s="1173"/>
      <c r="N47" s="1173"/>
      <c r="O47" s="1173"/>
      <c r="P47" s="945">
        <f>SUM(D47:O47)</f>
        <v>0</v>
      </c>
    </row>
    <row r="48" spans="2:19" ht="13.5" thickTop="1" x14ac:dyDescent="0.2">
      <c r="B48" s="1107">
        <f>'Datos generales'!C57</f>
        <v>0</v>
      </c>
      <c r="C48" s="1108"/>
      <c r="D48" s="1174"/>
      <c r="E48" s="1175"/>
      <c r="F48" s="1175"/>
      <c r="G48" s="1175"/>
      <c r="H48" s="1175"/>
      <c r="I48" s="1175"/>
      <c r="J48" s="1175"/>
      <c r="K48" s="1175"/>
      <c r="L48" s="1175"/>
      <c r="M48" s="1175"/>
      <c r="N48" s="1175"/>
      <c r="O48" s="1175"/>
      <c r="P48" s="53"/>
    </row>
    <row r="49" spans="2:19" x14ac:dyDescent="0.2">
      <c r="B49" s="1109"/>
      <c r="C49" s="937" t="str">
        <f>C43</f>
        <v>Unidades a vender:</v>
      </c>
      <c r="D49" s="208"/>
      <c r="E49" s="208"/>
      <c r="F49" s="208"/>
      <c r="G49" s="208"/>
      <c r="H49" s="208"/>
      <c r="I49" s="208"/>
      <c r="J49" s="208"/>
      <c r="K49" s="208"/>
      <c r="L49" s="208"/>
      <c r="M49" s="208"/>
      <c r="N49" s="208"/>
      <c r="O49" s="208"/>
      <c r="P49" s="243">
        <f>SUM(D49:O49)</f>
        <v>0</v>
      </c>
    </row>
    <row r="50" spans="2:19" x14ac:dyDescent="0.2">
      <c r="B50" s="938"/>
      <c r="C50" s="937" t="str">
        <f>C44</f>
        <v>Precio unitario de venta:</v>
      </c>
      <c r="D50" s="743"/>
      <c r="E50" s="743"/>
      <c r="F50" s="743"/>
      <c r="G50" s="743"/>
      <c r="H50" s="743"/>
      <c r="I50" s="743"/>
      <c r="J50" s="743"/>
      <c r="K50" s="743"/>
      <c r="L50" s="743"/>
      <c r="M50" s="743"/>
      <c r="N50" s="743"/>
      <c r="O50" s="743"/>
      <c r="P50" s="1140"/>
    </row>
    <row r="51" spans="2:19" x14ac:dyDescent="0.2">
      <c r="B51" s="148"/>
      <c r="C51" s="937" t="str">
        <f>C45</f>
        <v>Ingresos previstos por ventas:</v>
      </c>
      <c r="D51" s="940">
        <f t="shared" ref="D51:O51" si="3">D49*D50</f>
        <v>0</v>
      </c>
      <c r="E51" s="940">
        <f t="shared" si="3"/>
        <v>0</v>
      </c>
      <c r="F51" s="940">
        <f t="shared" si="3"/>
        <v>0</v>
      </c>
      <c r="G51" s="940">
        <f t="shared" si="3"/>
        <v>0</v>
      </c>
      <c r="H51" s="940">
        <f t="shared" si="3"/>
        <v>0</v>
      </c>
      <c r="I51" s="940">
        <f t="shared" si="3"/>
        <v>0</v>
      </c>
      <c r="J51" s="940">
        <f t="shared" si="3"/>
        <v>0</v>
      </c>
      <c r="K51" s="940">
        <f t="shared" si="3"/>
        <v>0</v>
      </c>
      <c r="L51" s="940">
        <f t="shared" si="3"/>
        <v>0</v>
      </c>
      <c r="M51" s="940">
        <f t="shared" si="3"/>
        <v>0</v>
      </c>
      <c r="N51" s="940">
        <f t="shared" si="3"/>
        <v>0</v>
      </c>
      <c r="O51" s="940">
        <f t="shared" si="3"/>
        <v>0</v>
      </c>
      <c r="P51" s="243">
        <f>SUM(D51:O51)</f>
        <v>0</v>
      </c>
    </row>
    <row r="52" spans="2:19" x14ac:dyDescent="0.2">
      <c r="B52" s="148"/>
      <c r="C52" s="937" t="str">
        <f>C46</f>
        <v>Precio unitario de compras:</v>
      </c>
      <c r="D52" s="743"/>
      <c r="E52" s="743"/>
      <c r="F52" s="743"/>
      <c r="G52" s="743"/>
      <c r="H52" s="743"/>
      <c r="I52" s="743"/>
      <c r="J52" s="743"/>
      <c r="K52" s="743"/>
      <c r="L52" s="743"/>
      <c r="M52" s="743"/>
      <c r="N52" s="743"/>
      <c r="O52" s="743"/>
      <c r="P52" s="942"/>
    </row>
    <row r="53" spans="2:19" ht="13.5" thickBot="1" x14ac:dyDescent="0.25">
      <c r="B53" s="943"/>
      <c r="C53" s="944" t="str">
        <f>C47</f>
        <v>Otros costes directos imputables al producto/servicio</v>
      </c>
      <c r="D53" s="1173"/>
      <c r="E53" s="1173"/>
      <c r="F53" s="1173"/>
      <c r="G53" s="1173"/>
      <c r="H53" s="1173"/>
      <c r="I53" s="1173"/>
      <c r="J53" s="1173"/>
      <c r="K53" s="1173"/>
      <c r="L53" s="1173"/>
      <c r="M53" s="1173"/>
      <c r="N53" s="1173"/>
      <c r="O53" s="1173"/>
      <c r="P53" s="945">
        <f>SUM(D53:O53)</f>
        <v>0</v>
      </c>
    </row>
    <row r="54" spans="2:19" ht="13.5" thickTop="1" x14ac:dyDescent="0.2">
      <c r="B54" s="1107">
        <f>'Datos generales'!C58</f>
        <v>0</v>
      </c>
      <c r="C54" s="1108"/>
      <c r="D54" s="1174"/>
      <c r="E54" s="1175"/>
      <c r="F54" s="1175"/>
      <c r="G54" s="1175"/>
      <c r="H54" s="1175"/>
      <c r="I54" s="1175"/>
      <c r="J54" s="1175"/>
      <c r="K54" s="1175"/>
      <c r="L54" s="1175"/>
      <c r="M54" s="1175"/>
      <c r="N54" s="1175"/>
      <c r="O54" s="1175"/>
      <c r="P54" s="53"/>
      <c r="S54" s="1064"/>
    </row>
    <row r="55" spans="2:19" x14ac:dyDescent="0.2">
      <c r="B55" s="1109"/>
      <c r="C55" s="937" t="str">
        <f>C49</f>
        <v>Unidades a vender:</v>
      </c>
      <c r="D55" s="208"/>
      <c r="E55" s="208"/>
      <c r="F55" s="208"/>
      <c r="G55" s="208"/>
      <c r="H55" s="208"/>
      <c r="I55" s="208"/>
      <c r="J55" s="208"/>
      <c r="K55" s="208"/>
      <c r="L55" s="208"/>
      <c r="M55" s="208"/>
      <c r="N55" s="208"/>
      <c r="O55" s="208"/>
      <c r="P55" s="243">
        <f>SUM(D55:O55)</f>
        <v>0</v>
      </c>
    </row>
    <row r="56" spans="2:19" x14ac:dyDescent="0.2">
      <c r="B56" s="938"/>
      <c r="C56" s="937" t="str">
        <f>C50</f>
        <v>Precio unitario de venta:</v>
      </c>
      <c r="D56" s="743"/>
      <c r="E56" s="743"/>
      <c r="F56" s="743"/>
      <c r="G56" s="743"/>
      <c r="H56" s="743"/>
      <c r="I56" s="743"/>
      <c r="J56" s="743"/>
      <c r="K56" s="743"/>
      <c r="L56" s="743"/>
      <c r="M56" s="743"/>
      <c r="N56" s="743"/>
      <c r="O56" s="743"/>
      <c r="P56" s="1140"/>
    </row>
    <row r="57" spans="2:19" x14ac:dyDescent="0.2">
      <c r="B57" s="148"/>
      <c r="C57" s="937" t="str">
        <f>C51</f>
        <v>Ingresos previstos por ventas:</v>
      </c>
      <c r="D57" s="940">
        <f t="shared" ref="D57:O57" si="4">D55*D56</f>
        <v>0</v>
      </c>
      <c r="E57" s="940">
        <f t="shared" si="4"/>
        <v>0</v>
      </c>
      <c r="F57" s="940">
        <f t="shared" si="4"/>
        <v>0</v>
      </c>
      <c r="G57" s="940">
        <f t="shared" si="4"/>
        <v>0</v>
      </c>
      <c r="H57" s="940">
        <f t="shared" si="4"/>
        <v>0</v>
      </c>
      <c r="I57" s="940">
        <f t="shared" si="4"/>
        <v>0</v>
      </c>
      <c r="J57" s="940">
        <f t="shared" si="4"/>
        <v>0</v>
      </c>
      <c r="K57" s="940">
        <f t="shared" si="4"/>
        <v>0</v>
      </c>
      <c r="L57" s="940">
        <f t="shared" si="4"/>
        <v>0</v>
      </c>
      <c r="M57" s="940">
        <f t="shared" si="4"/>
        <v>0</v>
      </c>
      <c r="N57" s="940">
        <f t="shared" si="4"/>
        <v>0</v>
      </c>
      <c r="O57" s="940">
        <f t="shared" si="4"/>
        <v>0</v>
      </c>
      <c r="P57" s="243">
        <f>SUM(D57:O57)</f>
        <v>0</v>
      </c>
    </row>
    <row r="58" spans="2:19" x14ac:dyDescent="0.2">
      <c r="B58" s="148"/>
      <c r="C58" s="937" t="str">
        <f>C52</f>
        <v>Precio unitario de compras:</v>
      </c>
      <c r="D58" s="743"/>
      <c r="E58" s="743"/>
      <c r="F58" s="743"/>
      <c r="G58" s="743"/>
      <c r="H58" s="743"/>
      <c r="I58" s="743"/>
      <c r="J58" s="743"/>
      <c r="K58" s="743"/>
      <c r="L58" s="743"/>
      <c r="M58" s="743"/>
      <c r="N58" s="743"/>
      <c r="O58" s="743"/>
      <c r="P58" s="942"/>
    </row>
    <row r="59" spans="2:19" ht="13.5" thickBot="1" x14ac:dyDescent="0.25">
      <c r="B59" s="943"/>
      <c r="C59" s="944" t="str">
        <f>C53</f>
        <v>Otros costes directos imputables al producto/servicio</v>
      </c>
      <c r="D59" s="1173"/>
      <c r="E59" s="1173"/>
      <c r="F59" s="1173"/>
      <c r="G59" s="1173"/>
      <c r="H59" s="1173"/>
      <c r="I59" s="1173"/>
      <c r="J59" s="1173"/>
      <c r="K59" s="1173"/>
      <c r="L59" s="1173"/>
      <c r="M59" s="1173"/>
      <c r="N59" s="1173"/>
      <c r="O59" s="1173"/>
      <c r="P59" s="945">
        <f>SUM(D59:O59)</f>
        <v>0</v>
      </c>
    </row>
    <row r="60" spans="2:19" ht="13.5" thickTop="1" x14ac:dyDescent="0.2">
      <c r="B60" s="1107">
        <f>'Datos generales'!C59</f>
        <v>0</v>
      </c>
      <c r="C60" s="1108"/>
      <c r="D60" s="1174"/>
      <c r="E60" s="1175"/>
      <c r="F60" s="1175"/>
      <c r="G60" s="1175"/>
      <c r="H60" s="1175"/>
      <c r="I60" s="1175"/>
      <c r="J60" s="1175"/>
      <c r="K60" s="1175"/>
      <c r="L60" s="1175"/>
      <c r="M60" s="1175"/>
      <c r="N60" s="1175"/>
      <c r="O60" s="1175"/>
      <c r="P60" s="53"/>
      <c r="S60" s="1064"/>
    </row>
    <row r="61" spans="2:19" x14ac:dyDescent="0.2">
      <c r="B61" s="1109"/>
      <c r="C61" s="937" t="str">
        <f>C55</f>
        <v>Unidades a vender:</v>
      </c>
      <c r="D61" s="208"/>
      <c r="E61" s="208"/>
      <c r="F61" s="208"/>
      <c r="G61" s="208"/>
      <c r="H61" s="208"/>
      <c r="I61" s="208"/>
      <c r="J61" s="208"/>
      <c r="K61" s="208"/>
      <c r="L61" s="208"/>
      <c r="M61" s="208"/>
      <c r="N61" s="208"/>
      <c r="O61" s="208"/>
      <c r="P61" s="243">
        <f>SUM(D61:O61)</f>
        <v>0</v>
      </c>
    </row>
    <row r="62" spans="2:19" x14ac:dyDescent="0.2">
      <c r="B62" s="938"/>
      <c r="C62" s="937" t="str">
        <f>C56</f>
        <v>Precio unitario de venta:</v>
      </c>
      <c r="D62" s="743"/>
      <c r="E62" s="743"/>
      <c r="F62" s="743"/>
      <c r="G62" s="743"/>
      <c r="H62" s="743"/>
      <c r="I62" s="743"/>
      <c r="J62" s="743"/>
      <c r="K62" s="743"/>
      <c r="L62" s="743"/>
      <c r="M62" s="743"/>
      <c r="N62" s="743"/>
      <c r="O62" s="743"/>
      <c r="P62" s="1140"/>
    </row>
    <row r="63" spans="2:19" x14ac:dyDescent="0.2">
      <c r="B63" s="148"/>
      <c r="C63" s="937" t="str">
        <f>C57</f>
        <v>Ingresos previstos por ventas:</v>
      </c>
      <c r="D63" s="940">
        <f t="shared" ref="D63:O63" si="5">D61*D62</f>
        <v>0</v>
      </c>
      <c r="E63" s="940">
        <f t="shared" si="5"/>
        <v>0</v>
      </c>
      <c r="F63" s="940">
        <f t="shared" si="5"/>
        <v>0</v>
      </c>
      <c r="G63" s="940">
        <f t="shared" si="5"/>
        <v>0</v>
      </c>
      <c r="H63" s="940">
        <f t="shared" si="5"/>
        <v>0</v>
      </c>
      <c r="I63" s="940">
        <f t="shared" si="5"/>
        <v>0</v>
      </c>
      <c r="J63" s="940">
        <f t="shared" si="5"/>
        <v>0</v>
      </c>
      <c r="K63" s="940">
        <f t="shared" si="5"/>
        <v>0</v>
      </c>
      <c r="L63" s="940">
        <f t="shared" si="5"/>
        <v>0</v>
      </c>
      <c r="M63" s="940">
        <f t="shared" si="5"/>
        <v>0</v>
      </c>
      <c r="N63" s="940">
        <f t="shared" si="5"/>
        <v>0</v>
      </c>
      <c r="O63" s="940">
        <f t="shared" si="5"/>
        <v>0</v>
      </c>
      <c r="P63" s="243">
        <f>SUM(D63:O63)</f>
        <v>0</v>
      </c>
    </row>
    <row r="64" spans="2:19" x14ac:dyDescent="0.2">
      <c r="B64" s="148"/>
      <c r="C64" s="937" t="str">
        <f>C58</f>
        <v>Precio unitario de compras:</v>
      </c>
      <c r="D64" s="743"/>
      <c r="E64" s="743"/>
      <c r="F64" s="743"/>
      <c r="G64" s="743"/>
      <c r="H64" s="743"/>
      <c r="I64" s="743"/>
      <c r="J64" s="743"/>
      <c r="K64" s="743"/>
      <c r="L64" s="743"/>
      <c r="M64" s="743"/>
      <c r="N64" s="743"/>
      <c r="O64" s="743"/>
      <c r="P64" s="942"/>
    </row>
    <row r="65" spans="2:19" ht="13.5" thickBot="1" x14ac:dyDescent="0.25">
      <c r="B65" s="943"/>
      <c r="C65" s="944" t="str">
        <f>C59</f>
        <v>Otros costes directos imputables al producto/servicio</v>
      </c>
      <c r="D65" s="1173"/>
      <c r="E65" s="1173"/>
      <c r="F65" s="1173"/>
      <c r="G65" s="1173"/>
      <c r="H65" s="1173"/>
      <c r="I65" s="1173"/>
      <c r="J65" s="1173"/>
      <c r="K65" s="1173"/>
      <c r="L65" s="1173"/>
      <c r="M65" s="1173"/>
      <c r="N65" s="1173"/>
      <c r="O65" s="1173"/>
      <c r="P65" s="945">
        <f>SUM(D65:O65)</f>
        <v>0</v>
      </c>
    </row>
    <row r="66" spans="2:19" ht="13.5" thickTop="1" x14ac:dyDescent="0.2">
      <c r="B66" s="1107">
        <f>'Datos generales'!C60</f>
        <v>0</v>
      </c>
      <c r="C66" s="1108"/>
      <c r="D66" s="1174"/>
      <c r="E66" s="1175"/>
      <c r="F66" s="1175"/>
      <c r="G66" s="1175"/>
      <c r="H66" s="1175"/>
      <c r="I66" s="1175"/>
      <c r="J66" s="1175"/>
      <c r="K66" s="1175"/>
      <c r="L66" s="1175"/>
      <c r="M66" s="1175"/>
      <c r="N66" s="1175"/>
      <c r="O66" s="1175"/>
      <c r="P66" s="53"/>
      <c r="S66" s="1064"/>
    </row>
    <row r="67" spans="2:19" x14ac:dyDescent="0.2">
      <c r="B67" s="1109"/>
      <c r="C67" s="937" t="str">
        <f>C61</f>
        <v>Unidades a vender:</v>
      </c>
      <c r="D67" s="208"/>
      <c r="E67" s="208"/>
      <c r="F67" s="208"/>
      <c r="G67" s="208"/>
      <c r="H67" s="208"/>
      <c r="I67" s="208"/>
      <c r="J67" s="208"/>
      <c r="K67" s="208"/>
      <c r="L67" s="208"/>
      <c r="M67" s="208"/>
      <c r="N67" s="208"/>
      <c r="O67" s="208"/>
      <c r="P67" s="243">
        <f>SUM(D67:O67)</f>
        <v>0</v>
      </c>
    </row>
    <row r="68" spans="2:19" x14ac:dyDescent="0.2">
      <c r="B68" s="938"/>
      <c r="C68" s="937" t="str">
        <f>C62</f>
        <v>Precio unitario de venta:</v>
      </c>
      <c r="D68" s="743"/>
      <c r="E68" s="743"/>
      <c r="F68" s="743"/>
      <c r="G68" s="743"/>
      <c r="H68" s="743"/>
      <c r="I68" s="743"/>
      <c r="J68" s="743"/>
      <c r="K68" s="743"/>
      <c r="L68" s="743"/>
      <c r="M68" s="743"/>
      <c r="N68" s="743"/>
      <c r="O68" s="743"/>
      <c r="P68" s="1140"/>
    </row>
    <row r="69" spans="2:19" x14ac:dyDescent="0.2">
      <c r="B69" s="148"/>
      <c r="C69" s="937" t="str">
        <f>C63</f>
        <v>Ingresos previstos por ventas:</v>
      </c>
      <c r="D69" s="940">
        <f t="shared" ref="D69:O69" si="6">D67*D68</f>
        <v>0</v>
      </c>
      <c r="E69" s="940">
        <f t="shared" si="6"/>
        <v>0</v>
      </c>
      <c r="F69" s="940">
        <f t="shared" si="6"/>
        <v>0</v>
      </c>
      <c r="G69" s="940">
        <f t="shared" si="6"/>
        <v>0</v>
      </c>
      <c r="H69" s="940">
        <f t="shared" si="6"/>
        <v>0</v>
      </c>
      <c r="I69" s="940">
        <f t="shared" si="6"/>
        <v>0</v>
      </c>
      <c r="J69" s="940">
        <f t="shared" si="6"/>
        <v>0</v>
      </c>
      <c r="K69" s="940">
        <f t="shared" si="6"/>
        <v>0</v>
      </c>
      <c r="L69" s="940">
        <f t="shared" si="6"/>
        <v>0</v>
      </c>
      <c r="M69" s="940">
        <f t="shared" si="6"/>
        <v>0</v>
      </c>
      <c r="N69" s="940">
        <f t="shared" si="6"/>
        <v>0</v>
      </c>
      <c r="O69" s="940">
        <f t="shared" si="6"/>
        <v>0</v>
      </c>
      <c r="P69" s="243">
        <f>SUM(D69:O69)</f>
        <v>0</v>
      </c>
    </row>
    <row r="70" spans="2:19" x14ac:dyDescent="0.2">
      <c r="B70" s="148"/>
      <c r="C70" s="937" t="str">
        <f>C64</f>
        <v>Precio unitario de compras:</v>
      </c>
      <c r="D70" s="743"/>
      <c r="E70" s="743"/>
      <c r="F70" s="743"/>
      <c r="G70" s="743"/>
      <c r="H70" s="743"/>
      <c r="I70" s="743"/>
      <c r="J70" s="743"/>
      <c r="K70" s="743"/>
      <c r="L70" s="743"/>
      <c r="M70" s="743"/>
      <c r="N70" s="743"/>
      <c r="O70" s="743"/>
      <c r="P70" s="942"/>
    </row>
    <row r="71" spans="2:19" ht="13.5" thickBot="1" x14ac:dyDescent="0.25">
      <c r="B71" s="943"/>
      <c r="C71" s="944" t="str">
        <f>C65</f>
        <v>Otros costes directos imputables al producto/servicio</v>
      </c>
      <c r="D71" s="1173"/>
      <c r="E71" s="1173"/>
      <c r="F71" s="1173"/>
      <c r="G71" s="1173"/>
      <c r="H71" s="1173"/>
      <c r="I71" s="1173"/>
      <c r="J71" s="1173"/>
      <c r="K71" s="1173"/>
      <c r="L71" s="1173"/>
      <c r="M71" s="1173"/>
      <c r="N71" s="1173"/>
      <c r="O71" s="1173"/>
      <c r="P71" s="945">
        <f>SUM(D71:O71)</f>
        <v>0</v>
      </c>
    </row>
    <row r="72" spans="2:19" ht="13.5" thickTop="1" x14ac:dyDescent="0.2">
      <c r="B72" s="1107">
        <f>'Datos generales'!C61</f>
        <v>0</v>
      </c>
      <c r="C72" s="1108"/>
      <c r="D72" s="1174"/>
      <c r="E72" s="1175"/>
      <c r="F72" s="1175"/>
      <c r="G72" s="1175"/>
      <c r="H72" s="1175"/>
      <c r="I72" s="1175"/>
      <c r="J72" s="1175"/>
      <c r="K72" s="1175"/>
      <c r="L72" s="1175"/>
      <c r="M72" s="1175"/>
      <c r="N72" s="1175"/>
      <c r="O72" s="1175"/>
      <c r="P72" s="53"/>
      <c r="S72" s="1064"/>
    </row>
    <row r="73" spans="2:19" x14ac:dyDescent="0.2">
      <c r="B73" s="1109"/>
      <c r="C73" s="937" t="str">
        <f>C67</f>
        <v>Unidades a vender:</v>
      </c>
      <c r="D73" s="208"/>
      <c r="E73" s="208"/>
      <c r="F73" s="208"/>
      <c r="G73" s="208"/>
      <c r="H73" s="208"/>
      <c r="I73" s="208"/>
      <c r="J73" s="208"/>
      <c r="K73" s="208"/>
      <c r="L73" s="208"/>
      <c r="M73" s="208"/>
      <c r="N73" s="208"/>
      <c r="O73" s="208"/>
      <c r="P73" s="243">
        <f>SUM(D73:O73)</f>
        <v>0</v>
      </c>
    </row>
    <row r="74" spans="2:19" x14ac:dyDescent="0.2">
      <c r="B74" s="938"/>
      <c r="C74" s="937" t="str">
        <f>C68</f>
        <v>Precio unitario de venta:</v>
      </c>
      <c r="D74" s="743"/>
      <c r="E74" s="743"/>
      <c r="F74" s="743"/>
      <c r="G74" s="743"/>
      <c r="H74" s="743"/>
      <c r="I74" s="743"/>
      <c r="J74" s="743"/>
      <c r="K74" s="743"/>
      <c r="L74" s="743"/>
      <c r="M74" s="743"/>
      <c r="N74" s="743"/>
      <c r="O74" s="743"/>
      <c r="P74" s="1140"/>
    </row>
    <row r="75" spans="2:19" x14ac:dyDescent="0.2">
      <c r="B75" s="148"/>
      <c r="C75" s="937" t="str">
        <f>C69</f>
        <v>Ingresos previstos por ventas:</v>
      </c>
      <c r="D75" s="940">
        <f t="shared" ref="D75:O75" si="7">D73*D74</f>
        <v>0</v>
      </c>
      <c r="E75" s="940">
        <f t="shared" si="7"/>
        <v>0</v>
      </c>
      <c r="F75" s="940">
        <f t="shared" si="7"/>
        <v>0</v>
      </c>
      <c r="G75" s="940">
        <f t="shared" si="7"/>
        <v>0</v>
      </c>
      <c r="H75" s="940">
        <f t="shared" si="7"/>
        <v>0</v>
      </c>
      <c r="I75" s="940">
        <f t="shared" si="7"/>
        <v>0</v>
      </c>
      <c r="J75" s="940">
        <f t="shared" si="7"/>
        <v>0</v>
      </c>
      <c r="K75" s="940">
        <f t="shared" si="7"/>
        <v>0</v>
      </c>
      <c r="L75" s="940">
        <f t="shared" si="7"/>
        <v>0</v>
      </c>
      <c r="M75" s="940">
        <f t="shared" si="7"/>
        <v>0</v>
      </c>
      <c r="N75" s="940">
        <f t="shared" si="7"/>
        <v>0</v>
      </c>
      <c r="O75" s="940">
        <f t="shared" si="7"/>
        <v>0</v>
      </c>
      <c r="P75" s="243">
        <f>SUM(D75:O75)</f>
        <v>0</v>
      </c>
    </row>
    <row r="76" spans="2:19" x14ac:dyDescent="0.2">
      <c r="B76" s="148"/>
      <c r="C76" s="937" t="str">
        <f>C70</f>
        <v>Precio unitario de compras:</v>
      </c>
      <c r="D76" s="743"/>
      <c r="E76" s="743"/>
      <c r="F76" s="743"/>
      <c r="G76" s="743"/>
      <c r="H76" s="743"/>
      <c r="I76" s="743"/>
      <c r="J76" s="743"/>
      <c r="K76" s="743"/>
      <c r="L76" s="743"/>
      <c r="M76" s="743"/>
      <c r="N76" s="743"/>
      <c r="O76" s="743"/>
      <c r="P76" s="942"/>
    </row>
    <row r="77" spans="2:19" ht="13.5" thickBot="1" x14ac:dyDescent="0.25">
      <c r="B77" s="943"/>
      <c r="C77" s="944" t="str">
        <f>C71</f>
        <v>Otros costes directos imputables al producto/servicio</v>
      </c>
      <c r="D77" s="1173"/>
      <c r="E77" s="1173"/>
      <c r="F77" s="1173"/>
      <c r="G77" s="1173"/>
      <c r="H77" s="1173"/>
      <c r="I77" s="1173"/>
      <c r="J77" s="1173"/>
      <c r="K77" s="1173"/>
      <c r="L77" s="1173"/>
      <c r="M77" s="1173"/>
      <c r="N77" s="1173"/>
      <c r="O77" s="1173"/>
      <c r="P77" s="945">
        <f>SUM(D77:O77)</f>
        <v>0</v>
      </c>
    </row>
    <row r="78" spans="2:19" ht="13.5" thickTop="1" x14ac:dyDescent="0.2">
      <c r="B78" s="1107">
        <f>'Datos generales'!C62</f>
        <v>0</v>
      </c>
      <c r="C78" s="1108"/>
      <c r="D78" s="1174"/>
      <c r="E78" s="1175"/>
      <c r="F78" s="1175"/>
      <c r="G78" s="1175"/>
      <c r="H78" s="1175"/>
      <c r="I78" s="1175"/>
      <c r="J78" s="1175"/>
      <c r="K78" s="1175"/>
      <c r="L78" s="1175"/>
      <c r="M78" s="1175"/>
      <c r="N78" s="1175"/>
      <c r="O78" s="1175"/>
      <c r="P78" s="53"/>
      <c r="S78" s="1064"/>
    </row>
    <row r="79" spans="2:19" x14ac:dyDescent="0.2">
      <c r="B79" s="1109"/>
      <c r="C79" s="937" t="str">
        <f>C73</f>
        <v>Unidades a vender:</v>
      </c>
      <c r="D79" s="208"/>
      <c r="E79" s="208"/>
      <c r="F79" s="208"/>
      <c r="G79" s="208"/>
      <c r="H79" s="208"/>
      <c r="I79" s="208"/>
      <c r="J79" s="208"/>
      <c r="K79" s="208"/>
      <c r="L79" s="208"/>
      <c r="M79" s="208"/>
      <c r="N79" s="208"/>
      <c r="O79" s="208"/>
      <c r="P79" s="243">
        <f>SUM(D79:O79)</f>
        <v>0</v>
      </c>
    </row>
    <row r="80" spans="2:19" x14ac:dyDescent="0.2">
      <c r="B80" s="938"/>
      <c r="C80" s="937" t="str">
        <f>C74</f>
        <v>Precio unitario de venta:</v>
      </c>
      <c r="D80" s="743"/>
      <c r="E80" s="743"/>
      <c r="F80" s="743"/>
      <c r="G80" s="743"/>
      <c r="H80" s="743"/>
      <c r="I80" s="743"/>
      <c r="J80" s="743"/>
      <c r="K80" s="743"/>
      <c r="L80" s="743"/>
      <c r="M80" s="743"/>
      <c r="N80" s="743"/>
      <c r="O80" s="743"/>
      <c r="P80" s="1140"/>
    </row>
    <row r="81" spans="2:19" x14ac:dyDescent="0.2">
      <c r="B81" s="148"/>
      <c r="C81" s="937" t="str">
        <f>C75</f>
        <v>Ingresos previstos por ventas:</v>
      </c>
      <c r="D81" s="940">
        <f t="shared" ref="D81:O81" si="8">D79*D80</f>
        <v>0</v>
      </c>
      <c r="E81" s="940">
        <f t="shared" si="8"/>
        <v>0</v>
      </c>
      <c r="F81" s="940">
        <f t="shared" si="8"/>
        <v>0</v>
      </c>
      <c r="G81" s="940">
        <f t="shared" si="8"/>
        <v>0</v>
      </c>
      <c r="H81" s="940">
        <f t="shared" si="8"/>
        <v>0</v>
      </c>
      <c r="I81" s="940">
        <f t="shared" si="8"/>
        <v>0</v>
      </c>
      <c r="J81" s="940">
        <f t="shared" si="8"/>
        <v>0</v>
      </c>
      <c r="K81" s="940">
        <f t="shared" si="8"/>
        <v>0</v>
      </c>
      <c r="L81" s="940">
        <f t="shared" si="8"/>
        <v>0</v>
      </c>
      <c r="M81" s="940">
        <f t="shared" si="8"/>
        <v>0</v>
      </c>
      <c r="N81" s="940">
        <f t="shared" si="8"/>
        <v>0</v>
      </c>
      <c r="O81" s="940">
        <f t="shared" si="8"/>
        <v>0</v>
      </c>
      <c r="P81" s="243">
        <f>SUM(D81:O81)</f>
        <v>0</v>
      </c>
    </row>
    <row r="82" spans="2:19" x14ac:dyDescent="0.2">
      <c r="B82" s="148"/>
      <c r="C82" s="937" t="str">
        <f>C76</f>
        <v>Precio unitario de compras:</v>
      </c>
      <c r="D82" s="743"/>
      <c r="E82" s="743"/>
      <c r="F82" s="743"/>
      <c r="G82" s="743"/>
      <c r="H82" s="743"/>
      <c r="I82" s="743"/>
      <c r="J82" s="743"/>
      <c r="K82" s="743"/>
      <c r="L82" s="743"/>
      <c r="M82" s="743"/>
      <c r="N82" s="743"/>
      <c r="O82" s="743"/>
      <c r="P82" s="942"/>
    </row>
    <row r="83" spans="2:19" ht="13.5" thickBot="1" x14ac:dyDescent="0.25">
      <c r="B83" s="943"/>
      <c r="C83" s="944" t="str">
        <f>C77</f>
        <v>Otros costes directos imputables al producto/servicio</v>
      </c>
      <c r="D83" s="1173"/>
      <c r="E83" s="1173"/>
      <c r="F83" s="1173"/>
      <c r="G83" s="1173"/>
      <c r="H83" s="1173"/>
      <c r="I83" s="1173"/>
      <c r="J83" s="1173"/>
      <c r="K83" s="1173"/>
      <c r="L83" s="1173"/>
      <c r="M83" s="1173"/>
      <c r="N83" s="1173"/>
      <c r="O83" s="1173"/>
      <c r="P83" s="945">
        <f>SUM(D83:O83)</f>
        <v>0</v>
      </c>
    </row>
    <row r="84" spans="2:19" ht="13.5" thickTop="1" x14ac:dyDescent="0.2">
      <c r="B84" s="1107">
        <f>'Datos generales'!C63</f>
        <v>0</v>
      </c>
      <c r="C84" s="1108"/>
      <c r="D84" s="1174"/>
      <c r="E84" s="1175"/>
      <c r="F84" s="1175"/>
      <c r="G84" s="1175"/>
      <c r="H84" s="1175"/>
      <c r="I84" s="1175"/>
      <c r="J84" s="1175"/>
      <c r="K84" s="1175"/>
      <c r="L84" s="1175"/>
      <c r="M84" s="1175"/>
      <c r="N84" s="1175"/>
      <c r="O84" s="1175"/>
      <c r="P84" s="53"/>
      <c r="S84" s="1064"/>
    </row>
    <row r="85" spans="2:19" x14ac:dyDescent="0.2">
      <c r="B85" s="1109"/>
      <c r="C85" s="937" t="str">
        <f>C79</f>
        <v>Unidades a vender:</v>
      </c>
      <c r="D85" s="208"/>
      <c r="E85" s="208"/>
      <c r="F85" s="208"/>
      <c r="G85" s="208"/>
      <c r="H85" s="208"/>
      <c r="I85" s="208"/>
      <c r="J85" s="208"/>
      <c r="K85" s="208"/>
      <c r="L85" s="208"/>
      <c r="M85" s="208"/>
      <c r="N85" s="208"/>
      <c r="O85" s="208"/>
      <c r="P85" s="243">
        <f>SUM(D85:O85)</f>
        <v>0</v>
      </c>
    </row>
    <row r="86" spans="2:19" x14ac:dyDescent="0.2">
      <c r="B86" s="938"/>
      <c r="C86" s="937" t="str">
        <f>C80</f>
        <v>Precio unitario de venta:</v>
      </c>
      <c r="D86" s="743"/>
      <c r="E86" s="743"/>
      <c r="F86" s="743"/>
      <c r="G86" s="743"/>
      <c r="H86" s="743"/>
      <c r="I86" s="743"/>
      <c r="J86" s="743"/>
      <c r="K86" s="743"/>
      <c r="L86" s="743"/>
      <c r="M86" s="743"/>
      <c r="N86" s="743"/>
      <c r="O86" s="743"/>
      <c r="P86" s="1140"/>
    </row>
    <row r="87" spans="2:19" x14ac:dyDescent="0.2">
      <c r="B87" s="148"/>
      <c r="C87" s="937" t="str">
        <f>C81</f>
        <v>Ingresos previstos por ventas:</v>
      </c>
      <c r="D87" s="940">
        <f t="shared" ref="D87:O87" si="9">D85*D86</f>
        <v>0</v>
      </c>
      <c r="E87" s="940">
        <f t="shared" si="9"/>
        <v>0</v>
      </c>
      <c r="F87" s="940">
        <f t="shared" si="9"/>
        <v>0</v>
      </c>
      <c r="G87" s="940">
        <f t="shared" si="9"/>
        <v>0</v>
      </c>
      <c r="H87" s="940">
        <f t="shared" si="9"/>
        <v>0</v>
      </c>
      <c r="I87" s="940">
        <f t="shared" si="9"/>
        <v>0</v>
      </c>
      <c r="J87" s="940">
        <f t="shared" si="9"/>
        <v>0</v>
      </c>
      <c r="K87" s="940">
        <f t="shared" si="9"/>
        <v>0</v>
      </c>
      <c r="L87" s="940">
        <f t="shared" si="9"/>
        <v>0</v>
      </c>
      <c r="M87" s="940">
        <f t="shared" si="9"/>
        <v>0</v>
      </c>
      <c r="N87" s="940">
        <f t="shared" si="9"/>
        <v>0</v>
      </c>
      <c r="O87" s="940">
        <f t="shared" si="9"/>
        <v>0</v>
      </c>
      <c r="P87" s="243">
        <f>SUM(D87:O87)</f>
        <v>0</v>
      </c>
    </row>
    <row r="88" spans="2:19" x14ac:dyDescent="0.2">
      <c r="B88" s="148"/>
      <c r="C88" s="937" t="str">
        <f>C82</f>
        <v>Precio unitario de compras:</v>
      </c>
      <c r="D88" s="743"/>
      <c r="E88" s="743"/>
      <c r="F88" s="743"/>
      <c r="G88" s="743"/>
      <c r="H88" s="743"/>
      <c r="I88" s="743"/>
      <c r="J88" s="743"/>
      <c r="K88" s="743"/>
      <c r="L88" s="743"/>
      <c r="M88" s="743"/>
      <c r="N88" s="743"/>
      <c r="O88" s="743"/>
      <c r="P88" s="942"/>
    </row>
    <row r="89" spans="2:19" ht="13.5" thickBot="1" x14ac:dyDescent="0.25">
      <c r="B89" s="943"/>
      <c r="C89" s="944" t="str">
        <f>C83</f>
        <v>Otros costes directos imputables al producto/servicio</v>
      </c>
      <c r="D89" s="1173"/>
      <c r="E89" s="1173"/>
      <c r="F89" s="1173"/>
      <c r="G89" s="1173"/>
      <c r="H89" s="1173"/>
      <c r="I89" s="1173"/>
      <c r="J89" s="1173"/>
      <c r="K89" s="1173"/>
      <c r="L89" s="1173"/>
      <c r="M89" s="1173"/>
      <c r="N89" s="1173"/>
      <c r="O89" s="1173"/>
      <c r="P89" s="945">
        <f>SUM(D89:O89)</f>
        <v>0</v>
      </c>
    </row>
    <row r="90" spans="2:19" ht="13.5" thickTop="1" x14ac:dyDescent="0.2">
      <c r="B90" s="142"/>
      <c r="C90" s="142"/>
      <c r="D90" s="1176" t="s">
        <v>135</v>
      </c>
      <c r="E90" s="587"/>
      <c r="F90" s="587"/>
      <c r="G90" s="587"/>
      <c r="H90" s="587"/>
      <c r="I90" s="587"/>
      <c r="J90" s="587"/>
      <c r="K90" s="587"/>
      <c r="L90" s="587"/>
      <c r="M90" s="587"/>
      <c r="N90" s="587"/>
      <c r="O90" s="587"/>
      <c r="P90" s="97"/>
    </row>
    <row r="91" spans="2:19" ht="15.75" x14ac:dyDescent="0.25">
      <c r="B91" s="138" t="s">
        <v>4</v>
      </c>
      <c r="C91" s="138"/>
      <c r="D91"/>
      <c r="E91" s="8"/>
      <c r="F91" s="7"/>
      <c r="G91" s="7"/>
      <c r="H91" s="7"/>
      <c r="I91" s="7"/>
      <c r="J91" s="7"/>
      <c r="K91" s="7"/>
      <c r="L91" s="7"/>
      <c r="M91" s="7"/>
      <c r="N91" s="7"/>
      <c r="O91" s="7"/>
      <c r="P91" s="7"/>
    </row>
    <row r="92" spans="2:19" x14ac:dyDescent="0.2">
      <c r="B92" s="689" t="s">
        <v>116</v>
      </c>
      <c r="C92" s="936"/>
      <c r="D92" s="105" t="s">
        <v>117</v>
      </c>
      <c r="E92" s="20" t="s">
        <v>118</v>
      </c>
      <c r="F92" s="105" t="s">
        <v>119</v>
      </c>
      <c r="G92" s="105" t="s">
        <v>120</v>
      </c>
      <c r="H92" s="105" t="s">
        <v>121</v>
      </c>
      <c r="I92" s="105" t="s">
        <v>122</v>
      </c>
      <c r="J92" s="105" t="s">
        <v>123</v>
      </c>
      <c r="K92" s="105" t="s">
        <v>124</v>
      </c>
      <c r="L92" s="105" t="s">
        <v>125</v>
      </c>
      <c r="M92" s="105" t="s">
        <v>126</v>
      </c>
      <c r="N92" s="105" t="s">
        <v>127</v>
      </c>
      <c r="O92" s="105" t="s">
        <v>128</v>
      </c>
      <c r="P92" s="105" t="s">
        <v>129</v>
      </c>
    </row>
    <row r="93" spans="2:19" x14ac:dyDescent="0.2">
      <c r="B93" s="1107" t="str">
        <f>B30</f>
        <v>Producto o servicio 1</v>
      </c>
      <c r="C93" s="1108"/>
      <c r="D93" s="1111"/>
      <c r="E93" s="1111"/>
      <c r="F93" s="1111"/>
      <c r="G93" s="1111"/>
      <c r="H93" s="1111"/>
      <c r="I93" s="1111"/>
      <c r="J93" s="1111"/>
      <c r="K93" s="1111"/>
      <c r="L93" s="1111"/>
      <c r="M93" s="1111"/>
      <c r="N93" s="1111"/>
      <c r="O93" s="1111"/>
      <c r="P93" s="53"/>
    </row>
    <row r="94" spans="2:19" x14ac:dyDescent="0.2">
      <c r="B94" s="1109"/>
      <c r="C94" s="937" t="str">
        <f>C85</f>
        <v>Unidades a vender:</v>
      </c>
      <c r="D94" s="208"/>
      <c r="E94" s="208"/>
      <c r="F94" s="208"/>
      <c r="G94" s="208"/>
      <c r="H94" s="208"/>
      <c r="I94" s="208"/>
      <c r="J94" s="208"/>
      <c r="K94" s="208"/>
      <c r="L94" s="208"/>
      <c r="M94" s="208"/>
      <c r="N94" s="208"/>
      <c r="O94" s="208"/>
      <c r="P94" s="243">
        <f>SUM(D94:O94)</f>
        <v>0</v>
      </c>
    </row>
    <row r="95" spans="2:19" x14ac:dyDescent="0.2">
      <c r="B95" s="938"/>
      <c r="C95" s="937" t="str">
        <f>C86</f>
        <v>Precio unitario de venta:</v>
      </c>
      <c r="D95" s="743"/>
      <c r="E95" s="743"/>
      <c r="F95" s="743"/>
      <c r="G95" s="743"/>
      <c r="H95" s="743"/>
      <c r="I95" s="743"/>
      <c r="J95" s="743"/>
      <c r="K95" s="743"/>
      <c r="L95" s="743"/>
      <c r="M95" s="743"/>
      <c r="N95" s="743"/>
      <c r="O95" s="743"/>
      <c r="P95" s="1140"/>
    </row>
    <row r="96" spans="2:19" x14ac:dyDescent="0.2">
      <c r="B96" s="148"/>
      <c r="C96" s="937" t="str">
        <f>C87</f>
        <v>Ingresos previstos por ventas:</v>
      </c>
      <c r="D96" s="940">
        <f t="shared" ref="D96:O96" si="10">D94*D95</f>
        <v>0</v>
      </c>
      <c r="E96" s="940">
        <f t="shared" si="10"/>
        <v>0</v>
      </c>
      <c r="F96" s="940">
        <f t="shared" si="10"/>
        <v>0</v>
      </c>
      <c r="G96" s="940">
        <f t="shared" si="10"/>
        <v>0</v>
      </c>
      <c r="H96" s="940">
        <f t="shared" si="10"/>
        <v>0</v>
      </c>
      <c r="I96" s="940">
        <f t="shared" si="10"/>
        <v>0</v>
      </c>
      <c r="J96" s="940">
        <f t="shared" si="10"/>
        <v>0</v>
      </c>
      <c r="K96" s="940">
        <f t="shared" si="10"/>
        <v>0</v>
      </c>
      <c r="L96" s="940">
        <f t="shared" si="10"/>
        <v>0</v>
      </c>
      <c r="M96" s="940">
        <f t="shared" si="10"/>
        <v>0</v>
      </c>
      <c r="N96" s="940">
        <f t="shared" si="10"/>
        <v>0</v>
      </c>
      <c r="O96" s="940">
        <f t="shared" si="10"/>
        <v>0</v>
      </c>
      <c r="P96" s="243">
        <f>SUM(D96:O96)</f>
        <v>0</v>
      </c>
    </row>
    <row r="97" spans="2:19" x14ac:dyDescent="0.2">
      <c r="B97" s="148"/>
      <c r="C97" s="937" t="str">
        <f>C88</f>
        <v>Precio unitario de compras:</v>
      </c>
      <c r="D97" s="743"/>
      <c r="E97" s="743"/>
      <c r="F97" s="743"/>
      <c r="G97" s="743"/>
      <c r="H97" s="743"/>
      <c r="I97" s="743"/>
      <c r="J97" s="743"/>
      <c r="K97" s="743"/>
      <c r="L97" s="743"/>
      <c r="M97" s="743"/>
      <c r="N97" s="743"/>
      <c r="O97" s="743"/>
      <c r="P97" s="942"/>
    </row>
    <row r="98" spans="2:19" ht="13.5" thickBot="1" x14ac:dyDescent="0.25">
      <c r="B98" s="943"/>
      <c r="C98" s="944" t="str">
        <f>C89</f>
        <v>Otros costes directos imputables al producto/servicio</v>
      </c>
      <c r="D98" s="1173"/>
      <c r="E98" s="1173"/>
      <c r="F98" s="1173"/>
      <c r="G98" s="1173"/>
      <c r="H98" s="1173"/>
      <c r="I98" s="1173"/>
      <c r="J98" s="1173"/>
      <c r="K98" s="1173"/>
      <c r="L98" s="1173"/>
      <c r="M98" s="1173"/>
      <c r="N98" s="1173"/>
      <c r="O98" s="1173"/>
      <c r="P98" s="945">
        <f>SUM(D98:O98)</f>
        <v>0</v>
      </c>
    </row>
    <row r="99" spans="2:19" ht="13.5" thickTop="1" x14ac:dyDescent="0.2">
      <c r="B99" s="1107" t="str">
        <f>B36</f>
        <v>Producto o servicio 2</v>
      </c>
      <c r="C99" s="1110"/>
      <c r="D99" s="1174"/>
      <c r="E99" s="1175"/>
      <c r="F99" s="1175"/>
      <c r="G99" s="1175"/>
      <c r="H99" s="1175"/>
      <c r="I99" s="1175"/>
      <c r="J99" s="1175"/>
      <c r="K99" s="1175"/>
      <c r="L99" s="1175"/>
      <c r="M99" s="1175"/>
      <c r="N99" s="1175"/>
      <c r="O99" s="1175"/>
      <c r="P99" s="53"/>
    </row>
    <row r="100" spans="2:19" x14ac:dyDescent="0.2">
      <c r="B100" s="1109"/>
      <c r="C100" s="937" t="str">
        <f>C94</f>
        <v>Unidades a vender:</v>
      </c>
      <c r="D100" s="208"/>
      <c r="E100" s="208"/>
      <c r="F100" s="208"/>
      <c r="G100" s="208"/>
      <c r="H100" s="208"/>
      <c r="I100" s="208"/>
      <c r="J100" s="208"/>
      <c r="K100" s="208"/>
      <c r="L100" s="208"/>
      <c r="M100" s="208"/>
      <c r="N100" s="208"/>
      <c r="O100" s="208"/>
      <c r="P100" s="243">
        <f>SUM(D100:O100)</f>
        <v>0</v>
      </c>
    </row>
    <row r="101" spans="2:19" x14ac:dyDescent="0.2">
      <c r="B101" s="938"/>
      <c r="C101" s="937" t="str">
        <f>C95</f>
        <v>Precio unitario de venta:</v>
      </c>
      <c r="D101" s="743"/>
      <c r="E101" s="743"/>
      <c r="F101" s="743"/>
      <c r="G101" s="743"/>
      <c r="H101" s="743"/>
      <c r="I101" s="743"/>
      <c r="J101" s="743"/>
      <c r="K101" s="743"/>
      <c r="L101" s="743"/>
      <c r="M101" s="743"/>
      <c r="N101" s="743"/>
      <c r="O101" s="743"/>
      <c r="P101" s="1140"/>
    </row>
    <row r="102" spans="2:19" x14ac:dyDescent="0.2">
      <c r="B102" s="148"/>
      <c r="C102" s="937" t="str">
        <f>C96</f>
        <v>Ingresos previstos por ventas:</v>
      </c>
      <c r="D102" s="940">
        <f t="shared" ref="D102:O102" si="11">D100*D101</f>
        <v>0</v>
      </c>
      <c r="E102" s="940">
        <f t="shared" si="11"/>
        <v>0</v>
      </c>
      <c r="F102" s="940">
        <f t="shared" si="11"/>
        <v>0</v>
      </c>
      <c r="G102" s="940">
        <f t="shared" si="11"/>
        <v>0</v>
      </c>
      <c r="H102" s="940">
        <f t="shared" si="11"/>
        <v>0</v>
      </c>
      <c r="I102" s="940">
        <f t="shared" si="11"/>
        <v>0</v>
      </c>
      <c r="J102" s="940">
        <f t="shared" si="11"/>
        <v>0</v>
      </c>
      <c r="K102" s="940">
        <f t="shared" si="11"/>
        <v>0</v>
      </c>
      <c r="L102" s="940">
        <f t="shared" si="11"/>
        <v>0</v>
      </c>
      <c r="M102" s="940">
        <f t="shared" si="11"/>
        <v>0</v>
      </c>
      <c r="N102" s="940">
        <f t="shared" si="11"/>
        <v>0</v>
      </c>
      <c r="O102" s="940">
        <f t="shared" si="11"/>
        <v>0</v>
      </c>
      <c r="P102" s="243">
        <f>SUM(D102:O102)</f>
        <v>0</v>
      </c>
    </row>
    <row r="103" spans="2:19" x14ac:dyDescent="0.2">
      <c r="B103" s="148"/>
      <c r="C103" s="937" t="str">
        <f>C97</f>
        <v>Precio unitario de compras:</v>
      </c>
      <c r="D103" s="743"/>
      <c r="E103" s="743"/>
      <c r="F103" s="743"/>
      <c r="G103" s="743"/>
      <c r="H103" s="743"/>
      <c r="I103" s="743"/>
      <c r="J103" s="743"/>
      <c r="K103" s="743"/>
      <c r="L103" s="743"/>
      <c r="M103" s="743"/>
      <c r="N103" s="743"/>
      <c r="O103" s="743"/>
      <c r="P103" s="942"/>
    </row>
    <row r="104" spans="2:19" ht="13.5" thickBot="1" x14ac:dyDescent="0.25">
      <c r="B104" s="943"/>
      <c r="C104" s="944" t="str">
        <f>C98</f>
        <v>Otros costes directos imputables al producto/servicio</v>
      </c>
      <c r="D104" s="1173"/>
      <c r="E104" s="1173"/>
      <c r="F104" s="1173"/>
      <c r="G104" s="1173"/>
      <c r="H104" s="1173"/>
      <c r="I104" s="1173"/>
      <c r="J104" s="1173"/>
      <c r="K104" s="1173"/>
      <c r="L104" s="1173"/>
      <c r="M104" s="1173"/>
      <c r="N104" s="1173"/>
      <c r="O104" s="1173"/>
      <c r="P104" s="945">
        <f>SUM(D104:O104)</f>
        <v>0</v>
      </c>
    </row>
    <row r="105" spans="2:19" ht="13.5" thickTop="1" x14ac:dyDescent="0.2">
      <c r="B105" s="1107" t="str">
        <f>B42</f>
        <v>Producto o servicio 3</v>
      </c>
      <c r="C105" s="1110"/>
      <c r="D105" s="1174"/>
      <c r="E105" s="1175"/>
      <c r="F105" s="1175"/>
      <c r="G105" s="1175"/>
      <c r="H105" s="1175"/>
      <c r="I105" s="1175"/>
      <c r="J105" s="1175"/>
      <c r="K105" s="1175"/>
      <c r="L105" s="1175"/>
      <c r="M105" s="1175"/>
      <c r="N105" s="1175"/>
      <c r="O105" s="1175"/>
      <c r="P105" s="53"/>
      <c r="S105" s="1064"/>
    </row>
    <row r="106" spans="2:19" x14ac:dyDescent="0.2">
      <c r="B106" s="1109"/>
      <c r="C106" s="937" t="str">
        <f>C100</f>
        <v>Unidades a vender:</v>
      </c>
      <c r="D106" s="208"/>
      <c r="E106" s="208"/>
      <c r="F106" s="208"/>
      <c r="G106" s="208"/>
      <c r="H106" s="208"/>
      <c r="I106" s="208"/>
      <c r="J106" s="208"/>
      <c r="K106" s="208"/>
      <c r="L106" s="208"/>
      <c r="M106" s="208"/>
      <c r="N106" s="208"/>
      <c r="O106" s="208"/>
      <c r="P106" s="243">
        <f>SUM(D106:O106)</f>
        <v>0</v>
      </c>
    </row>
    <row r="107" spans="2:19" x14ac:dyDescent="0.2">
      <c r="B107" s="938"/>
      <c r="C107" s="937" t="str">
        <f>C101</f>
        <v>Precio unitario de venta:</v>
      </c>
      <c r="D107" s="743"/>
      <c r="E107" s="743"/>
      <c r="F107" s="743"/>
      <c r="G107" s="743"/>
      <c r="H107" s="743"/>
      <c r="I107" s="743"/>
      <c r="J107" s="743"/>
      <c r="K107" s="743"/>
      <c r="L107" s="743"/>
      <c r="M107" s="743"/>
      <c r="N107" s="743"/>
      <c r="O107" s="743"/>
      <c r="P107" s="1140"/>
    </row>
    <row r="108" spans="2:19" x14ac:dyDescent="0.2">
      <c r="B108" s="148"/>
      <c r="C108" s="937" t="str">
        <f>C102</f>
        <v>Ingresos previstos por ventas:</v>
      </c>
      <c r="D108" s="940">
        <f t="shared" ref="D108:O108" si="12">D106*D107</f>
        <v>0</v>
      </c>
      <c r="E108" s="940">
        <f t="shared" si="12"/>
        <v>0</v>
      </c>
      <c r="F108" s="940">
        <f t="shared" si="12"/>
        <v>0</v>
      </c>
      <c r="G108" s="940">
        <f t="shared" si="12"/>
        <v>0</v>
      </c>
      <c r="H108" s="940">
        <f t="shared" si="12"/>
        <v>0</v>
      </c>
      <c r="I108" s="940">
        <f t="shared" si="12"/>
        <v>0</v>
      </c>
      <c r="J108" s="940">
        <f t="shared" si="12"/>
        <v>0</v>
      </c>
      <c r="K108" s="940">
        <f t="shared" si="12"/>
        <v>0</v>
      </c>
      <c r="L108" s="940">
        <f t="shared" si="12"/>
        <v>0</v>
      </c>
      <c r="M108" s="940">
        <f t="shared" si="12"/>
        <v>0</v>
      </c>
      <c r="N108" s="940">
        <f t="shared" si="12"/>
        <v>0</v>
      </c>
      <c r="O108" s="940">
        <f t="shared" si="12"/>
        <v>0</v>
      </c>
      <c r="P108" s="243">
        <f>SUM(D108:O108)</f>
        <v>0</v>
      </c>
    </row>
    <row r="109" spans="2:19" x14ac:dyDescent="0.2">
      <c r="B109" s="148"/>
      <c r="C109" s="937" t="str">
        <f>C103</f>
        <v>Precio unitario de compras:</v>
      </c>
      <c r="D109" s="743"/>
      <c r="E109" s="743"/>
      <c r="F109" s="743"/>
      <c r="G109" s="743"/>
      <c r="H109" s="743"/>
      <c r="I109" s="743"/>
      <c r="J109" s="743"/>
      <c r="K109" s="743"/>
      <c r="L109" s="743"/>
      <c r="M109" s="743"/>
      <c r="N109" s="743"/>
      <c r="O109" s="743"/>
      <c r="P109" s="942"/>
    </row>
    <row r="110" spans="2:19" ht="13.5" thickBot="1" x14ac:dyDescent="0.25">
      <c r="B110" s="943"/>
      <c r="C110" s="944" t="str">
        <f>C104</f>
        <v>Otros costes directos imputables al producto/servicio</v>
      </c>
      <c r="D110" s="1173"/>
      <c r="E110" s="1173"/>
      <c r="F110" s="1173"/>
      <c r="G110" s="1173"/>
      <c r="H110" s="1173"/>
      <c r="I110" s="1173"/>
      <c r="J110" s="1173"/>
      <c r="K110" s="1173"/>
      <c r="L110" s="1173"/>
      <c r="M110" s="1173"/>
      <c r="N110" s="1173"/>
      <c r="O110" s="1173"/>
      <c r="P110" s="945">
        <f>SUM(D110:O110)</f>
        <v>0</v>
      </c>
    </row>
    <row r="111" spans="2:19" ht="13.5" thickTop="1" x14ac:dyDescent="0.2">
      <c r="B111" s="1107">
        <f>B48</f>
        <v>0</v>
      </c>
      <c r="C111" s="1110"/>
      <c r="D111" s="1174"/>
      <c r="E111" s="1175"/>
      <c r="F111" s="1175"/>
      <c r="G111" s="1175"/>
      <c r="H111" s="1175"/>
      <c r="I111" s="1175"/>
      <c r="J111" s="1175"/>
      <c r="K111" s="1175"/>
      <c r="L111" s="1175"/>
      <c r="M111" s="1175"/>
      <c r="N111" s="1175"/>
      <c r="O111" s="1175"/>
      <c r="P111" s="53"/>
    </row>
    <row r="112" spans="2:19" x14ac:dyDescent="0.2">
      <c r="B112" s="1109"/>
      <c r="C112" s="937" t="str">
        <f>C106</f>
        <v>Unidades a vender:</v>
      </c>
      <c r="D112" s="208"/>
      <c r="E112" s="208"/>
      <c r="F112" s="208"/>
      <c r="G112" s="208"/>
      <c r="H112" s="208"/>
      <c r="I112" s="208"/>
      <c r="J112" s="208"/>
      <c r="K112" s="208"/>
      <c r="L112" s="208"/>
      <c r="M112" s="208"/>
      <c r="N112" s="208"/>
      <c r="O112" s="208"/>
      <c r="P112" s="243">
        <f>SUM(D112:O112)</f>
        <v>0</v>
      </c>
    </row>
    <row r="113" spans="2:19" x14ac:dyDescent="0.2">
      <c r="B113" s="938"/>
      <c r="C113" s="937" t="str">
        <f>C107</f>
        <v>Precio unitario de venta:</v>
      </c>
      <c r="D113" s="743"/>
      <c r="E113" s="743"/>
      <c r="F113" s="743"/>
      <c r="G113" s="743"/>
      <c r="H113" s="743"/>
      <c r="I113" s="743"/>
      <c r="J113" s="743"/>
      <c r="K113" s="743"/>
      <c r="L113" s="743"/>
      <c r="M113" s="743"/>
      <c r="N113" s="743"/>
      <c r="O113" s="743"/>
      <c r="P113" s="1140"/>
    </row>
    <row r="114" spans="2:19" x14ac:dyDescent="0.2">
      <c r="B114" s="148"/>
      <c r="C114" s="937" t="str">
        <f>C108</f>
        <v>Ingresos previstos por ventas:</v>
      </c>
      <c r="D114" s="940">
        <f t="shared" ref="D114:O114" si="13">D112*D113</f>
        <v>0</v>
      </c>
      <c r="E114" s="940">
        <f t="shared" si="13"/>
        <v>0</v>
      </c>
      <c r="F114" s="940">
        <f t="shared" si="13"/>
        <v>0</v>
      </c>
      <c r="G114" s="940">
        <f t="shared" si="13"/>
        <v>0</v>
      </c>
      <c r="H114" s="940">
        <f t="shared" si="13"/>
        <v>0</v>
      </c>
      <c r="I114" s="940">
        <f t="shared" si="13"/>
        <v>0</v>
      </c>
      <c r="J114" s="940">
        <f t="shared" si="13"/>
        <v>0</v>
      </c>
      <c r="K114" s="940">
        <f t="shared" si="13"/>
        <v>0</v>
      </c>
      <c r="L114" s="940">
        <f t="shared" si="13"/>
        <v>0</v>
      </c>
      <c r="M114" s="940">
        <f t="shared" si="13"/>
        <v>0</v>
      </c>
      <c r="N114" s="940">
        <f t="shared" si="13"/>
        <v>0</v>
      </c>
      <c r="O114" s="940">
        <f t="shared" si="13"/>
        <v>0</v>
      </c>
      <c r="P114" s="243">
        <f>SUM(D114:O114)</f>
        <v>0</v>
      </c>
    </row>
    <row r="115" spans="2:19" x14ac:dyDescent="0.2">
      <c r="B115" s="148"/>
      <c r="C115" s="937" t="str">
        <f>C109</f>
        <v>Precio unitario de compras:</v>
      </c>
      <c r="D115" s="743"/>
      <c r="E115" s="743"/>
      <c r="F115" s="743"/>
      <c r="G115" s="743"/>
      <c r="H115" s="743"/>
      <c r="I115" s="743"/>
      <c r="J115" s="743"/>
      <c r="K115" s="743"/>
      <c r="L115" s="743"/>
      <c r="M115" s="743"/>
      <c r="N115" s="743"/>
      <c r="O115" s="743"/>
      <c r="P115" s="942"/>
    </row>
    <row r="116" spans="2:19" ht="13.5" thickBot="1" x14ac:dyDescent="0.25">
      <c r="B116" s="943"/>
      <c r="C116" s="944" t="str">
        <f>C110</f>
        <v>Otros costes directos imputables al producto/servicio</v>
      </c>
      <c r="D116" s="1173"/>
      <c r="E116" s="1173"/>
      <c r="F116" s="1173"/>
      <c r="G116" s="1173"/>
      <c r="H116" s="1173"/>
      <c r="I116" s="1173"/>
      <c r="J116" s="1173"/>
      <c r="K116" s="1173"/>
      <c r="L116" s="1173"/>
      <c r="M116" s="1173"/>
      <c r="N116" s="1173"/>
      <c r="O116" s="1173"/>
      <c r="P116" s="945">
        <f>SUM(D116:O116)</f>
        <v>0</v>
      </c>
    </row>
    <row r="117" spans="2:19" ht="13.5" thickTop="1" x14ac:dyDescent="0.2">
      <c r="B117" s="1107">
        <f>B54</f>
        <v>0</v>
      </c>
      <c r="C117" s="1110"/>
      <c r="D117" s="1174"/>
      <c r="E117" s="1175"/>
      <c r="F117" s="1175"/>
      <c r="G117" s="1175"/>
      <c r="H117" s="1175"/>
      <c r="I117" s="1175"/>
      <c r="J117" s="1175"/>
      <c r="K117" s="1175"/>
      <c r="L117" s="1175"/>
      <c r="M117" s="1175"/>
      <c r="N117" s="1175"/>
      <c r="O117" s="1175"/>
      <c r="P117" s="53"/>
      <c r="S117" s="1064"/>
    </row>
    <row r="118" spans="2:19" x14ac:dyDescent="0.2">
      <c r="B118" s="1109"/>
      <c r="C118" s="937" t="str">
        <f>C112</f>
        <v>Unidades a vender:</v>
      </c>
      <c r="D118" s="208"/>
      <c r="E118" s="208"/>
      <c r="F118" s="208"/>
      <c r="G118" s="208"/>
      <c r="H118" s="208"/>
      <c r="I118" s="208"/>
      <c r="J118" s="208"/>
      <c r="K118" s="208"/>
      <c r="L118" s="208"/>
      <c r="M118" s="208"/>
      <c r="N118" s="208"/>
      <c r="O118" s="208"/>
      <c r="P118" s="243">
        <f>SUM(D118:O118)</f>
        <v>0</v>
      </c>
    </row>
    <row r="119" spans="2:19" x14ac:dyDescent="0.2">
      <c r="B119" s="938"/>
      <c r="C119" s="937" t="str">
        <f>C113</f>
        <v>Precio unitario de venta:</v>
      </c>
      <c r="D119" s="743"/>
      <c r="E119" s="743"/>
      <c r="F119" s="743"/>
      <c r="G119" s="743"/>
      <c r="H119" s="743"/>
      <c r="I119" s="743"/>
      <c r="J119" s="743"/>
      <c r="K119" s="743"/>
      <c r="L119" s="743"/>
      <c r="M119" s="743"/>
      <c r="N119" s="743"/>
      <c r="O119" s="743"/>
      <c r="P119" s="1140"/>
    </row>
    <row r="120" spans="2:19" x14ac:dyDescent="0.2">
      <c r="B120" s="148"/>
      <c r="C120" s="937" t="str">
        <f>C114</f>
        <v>Ingresos previstos por ventas:</v>
      </c>
      <c r="D120" s="940">
        <f t="shared" ref="D120:O120" si="14">D118*D119</f>
        <v>0</v>
      </c>
      <c r="E120" s="940">
        <f t="shared" si="14"/>
        <v>0</v>
      </c>
      <c r="F120" s="940">
        <f t="shared" si="14"/>
        <v>0</v>
      </c>
      <c r="G120" s="940">
        <f t="shared" si="14"/>
        <v>0</v>
      </c>
      <c r="H120" s="940">
        <f t="shared" si="14"/>
        <v>0</v>
      </c>
      <c r="I120" s="940">
        <f t="shared" si="14"/>
        <v>0</v>
      </c>
      <c r="J120" s="940">
        <f t="shared" si="14"/>
        <v>0</v>
      </c>
      <c r="K120" s="940">
        <f t="shared" si="14"/>
        <v>0</v>
      </c>
      <c r="L120" s="940">
        <f t="shared" si="14"/>
        <v>0</v>
      </c>
      <c r="M120" s="940">
        <f t="shared" si="14"/>
        <v>0</v>
      </c>
      <c r="N120" s="940">
        <f t="shared" si="14"/>
        <v>0</v>
      </c>
      <c r="O120" s="940">
        <f t="shared" si="14"/>
        <v>0</v>
      </c>
      <c r="P120" s="243">
        <f>SUM(D120:O120)</f>
        <v>0</v>
      </c>
    </row>
    <row r="121" spans="2:19" x14ac:dyDescent="0.2">
      <c r="B121" s="148"/>
      <c r="C121" s="937" t="str">
        <f>C115</f>
        <v>Precio unitario de compras:</v>
      </c>
      <c r="D121" s="743"/>
      <c r="E121" s="743"/>
      <c r="F121" s="743"/>
      <c r="G121" s="743"/>
      <c r="H121" s="743"/>
      <c r="I121" s="743"/>
      <c r="J121" s="743"/>
      <c r="K121" s="743"/>
      <c r="L121" s="743"/>
      <c r="M121" s="743"/>
      <c r="N121" s="743"/>
      <c r="O121" s="743"/>
      <c r="P121" s="942"/>
    </row>
    <row r="122" spans="2:19" ht="13.5" thickBot="1" x14ac:dyDescent="0.25">
      <c r="B122" s="943"/>
      <c r="C122" s="944" t="str">
        <f>C116</f>
        <v>Otros costes directos imputables al producto/servicio</v>
      </c>
      <c r="D122" s="1173"/>
      <c r="E122" s="1173"/>
      <c r="F122" s="1173"/>
      <c r="G122" s="1173"/>
      <c r="H122" s="1173"/>
      <c r="I122" s="1173"/>
      <c r="J122" s="1173"/>
      <c r="K122" s="1173"/>
      <c r="L122" s="1173"/>
      <c r="M122" s="1173"/>
      <c r="N122" s="1173"/>
      <c r="O122" s="1173"/>
      <c r="P122" s="945">
        <f>SUM(D122:O122)</f>
        <v>0</v>
      </c>
    </row>
    <row r="123" spans="2:19" ht="13.5" thickTop="1" x14ac:dyDescent="0.2">
      <c r="B123" s="1107">
        <f>B60</f>
        <v>0</v>
      </c>
      <c r="C123" s="1110"/>
      <c r="D123" s="1174"/>
      <c r="E123" s="1175"/>
      <c r="F123" s="1175"/>
      <c r="G123" s="1175"/>
      <c r="H123" s="1175"/>
      <c r="I123" s="1175"/>
      <c r="J123" s="1175"/>
      <c r="K123" s="1175"/>
      <c r="L123" s="1175"/>
      <c r="M123" s="1175"/>
      <c r="N123" s="1175"/>
      <c r="O123" s="1175"/>
      <c r="P123" s="53"/>
      <c r="S123" s="1064"/>
    </row>
    <row r="124" spans="2:19" x14ac:dyDescent="0.2">
      <c r="B124" s="1109"/>
      <c r="C124" s="937" t="str">
        <f>C118</f>
        <v>Unidades a vender:</v>
      </c>
      <c r="D124" s="208"/>
      <c r="E124" s="208"/>
      <c r="F124" s="208"/>
      <c r="G124" s="208"/>
      <c r="H124" s="208"/>
      <c r="I124" s="208"/>
      <c r="J124" s="208"/>
      <c r="K124" s="208"/>
      <c r="L124" s="208"/>
      <c r="M124" s="208"/>
      <c r="N124" s="208"/>
      <c r="O124" s="208"/>
      <c r="P124" s="243">
        <f>SUM(D124:O124)</f>
        <v>0</v>
      </c>
    </row>
    <row r="125" spans="2:19" x14ac:dyDescent="0.2">
      <c r="B125" s="938"/>
      <c r="C125" s="937" t="str">
        <f>C119</f>
        <v>Precio unitario de venta:</v>
      </c>
      <c r="D125" s="743"/>
      <c r="E125" s="743"/>
      <c r="F125" s="743"/>
      <c r="G125" s="743"/>
      <c r="H125" s="743"/>
      <c r="I125" s="743"/>
      <c r="J125" s="743"/>
      <c r="K125" s="743"/>
      <c r="L125" s="743"/>
      <c r="M125" s="743"/>
      <c r="N125" s="743"/>
      <c r="O125" s="743"/>
      <c r="P125" s="1140"/>
    </row>
    <row r="126" spans="2:19" x14ac:dyDescent="0.2">
      <c r="B126" s="148"/>
      <c r="C126" s="937" t="str">
        <f>C120</f>
        <v>Ingresos previstos por ventas:</v>
      </c>
      <c r="D126" s="940">
        <f t="shared" ref="D126:O126" si="15">D124*D125</f>
        <v>0</v>
      </c>
      <c r="E126" s="940">
        <f t="shared" si="15"/>
        <v>0</v>
      </c>
      <c r="F126" s="940">
        <f t="shared" si="15"/>
        <v>0</v>
      </c>
      <c r="G126" s="940">
        <f t="shared" si="15"/>
        <v>0</v>
      </c>
      <c r="H126" s="940">
        <f t="shared" si="15"/>
        <v>0</v>
      </c>
      <c r="I126" s="940">
        <f t="shared" si="15"/>
        <v>0</v>
      </c>
      <c r="J126" s="940">
        <f t="shared" si="15"/>
        <v>0</v>
      </c>
      <c r="K126" s="940">
        <f t="shared" si="15"/>
        <v>0</v>
      </c>
      <c r="L126" s="940">
        <f t="shared" si="15"/>
        <v>0</v>
      </c>
      <c r="M126" s="940">
        <f t="shared" si="15"/>
        <v>0</v>
      </c>
      <c r="N126" s="940">
        <f t="shared" si="15"/>
        <v>0</v>
      </c>
      <c r="O126" s="940">
        <f t="shared" si="15"/>
        <v>0</v>
      </c>
      <c r="P126" s="243">
        <f>SUM(D126:O126)</f>
        <v>0</v>
      </c>
    </row>
    <row r="127" spans="2:19" x14ac:dyDescent="0.2">
      <c r="B127" s="148"/>
      <c r="C127" s="937" t="str">
        <f>C121</f>
        <v>Precio unitario de compras:</v>
      </c>
      <c r="D127" s="743"/>
      <c r="E127" s="743"/>
      <c r="F127" s="743"/>
      <c r="G127" s="743"/>
      <c r="H127" s="743"/>
      <c r="I127" s="743"/>
      <c r="J127" s="743"/>
      <c r="K127" s="743"/>
      <c r="L127" s="743"/>
      <c r="M127" s="743"/>
      <c r="N127" s="743"/>
      <c r="O127" s="743"/>
      <c r="P127" s="942"/>
    </row>
    <row r="128" spans="2:19" ht="13.5" thickBot="1" x14ac:dyDescent="0.25">
      <c r="B128" s="943"/>
      <c r="C128" s="944" t="str">
        <f>C122</f>
        <v>Otros costes directos imputables al producto/servicio</v>
      </c>
      <c r="D128" s="1173"/>
      <c r="E128" s="1173"/>
      <c r="F128" s="1173"/>
      <c r="G128" s="1173"/>
      <c r="H128" s="1173"/>
      <c r="I128" s="1173"/>
      <c r="J128" s="1173"/>
      <c r="K128" s="1173"/>
      <c r="L128" s="1173"/>
      <c r="M128" s="1173"/>
      <c r="N128" s="1173"/>
      <c r="O128" s="1173"/>
      <c r="P128" s="945">
        <f>SUM(D128:O128)</f>
        <v>0</v>
      </c>
    </row>
    <row r="129" spans="2:19" ht="13.5" thickTop="1" x14ac:dyDescent="0.2">
      <c r="B129" s="1107">
        <f>B66</f>
        <v>0</v>
      </c>
      <c r="C129" s="1110"/>
      <c r="D129" s="1174"/>
      <c r="E129" s="1175"/>
      <c r="F129" s="1175"/>
      <c r="G129" s="1175"/>
      <c r="H129" s="1175"/>
      <c r="I129" s="1175"/>
      <c r="J129" s="1175"/>
      <c r="K129" s="1175"/>
      <c r="L129" s="1175"/>
      <c r="M129" s="1175"/>
      <c r="N129" s="1175"/>
      <c r="O129" s="1175"/>
      <c r="P129" s="53"/>
      <c r="S129" s="1064"/>
    </row>
    <row r="130" spans="2:19" x14ac:dyDescent="0.2">
      <c r="B130" s="1109"/>
      <c r="C130" s="937" t="str">
        <f>C124</f>
        <v>Unidades a vender:</v>
      </c>
      <c r="D130" s="208"/>
      <c r="E130" s="208"/>
      <c r="F130" s="208"/>
      <c r="G130" s="208"/>
      <c r="H130" s="208"/>
      <c r="I130" s="208"/>
      <c r="J130" s="208"/>
      <c r="K130" s="208"/>
      <c r="L130" s="208"/>
      <c r="M130" s="208"/>
      <c r="N130" s="208"/>
      <c r="O130" s="208"/>
      <c r="P130" s="243">
        <f>SUM(D130:O130)</f>
        <v>0</v>
      </c>
    </row>
    <row r="131" spans="2:19" x14ac:dyDescent="0.2">
      <c r="B131" s="938"/>
      <c r="C131" s="937" t="str">
        <f>C125</f>
        <v>Precio unitario de venta:</v>
      </c>
      <c r="D131" s="743"/>
      <c r="E131" s="743"/>
      <c r="F131" s="743"/>
      <c r="G131" s="743"/>
      <c r="H131" s="743"/>
      <c r="I131" s="743"/>
      <c r="J131" s="743"/>
      <c r="K131" s="743"/>
      <c r="L131" s="743"/>
      <c r="M131" s="743"/>
      <c r="N131" s="743"/>
      <c r="O131" s="743"/>
      <c r="P131" s="1140"/>
    </row>
    <row r="132" spans="2:19" x14ac:dyDescent="0.2">
      <c r="B132" s="148"/>
      <c r="C132" s="937" t="str">
        <f>C126</f>
        <v>Ingresos previstos por ventas:</v>
      </c>
      <c r="D132" s="940">
        <f t="shared" ref="D132:O132" si="16">D130*D131</f>
        <v>0</v>
      </c>
      <c r="E132" s="940">
        <f t="shared" si="16"/>
        <v>0</v>
      </c>
      <c r="F132" s="940">
        <f t="shared" si="16"/>
        <v>0</v>
      </c>
      <c r="G132" s="940">
        <f t="shared" si="16"/>
        <v>0</v>
      </c>
      <c r="H132" s="940">
        <f t="shared" si="16"/>
        <v>0</v>
      </c>
      <c r="I132" s="940">
        <f t="shared" si="16"/>
        <v>0</v>
      </c>
      <c r="J132" s="940">
        <f t="shared" si="16"/>
        <v>0</v>
      </c>
      <c r="K132" s="940">
        <f t="shared" si="16"/>
        <v>0</v>
      </c>
      <c r="L132" s="940">
        <f t="shared" si="16"/>
        <v>0</v>
      </c>
      <c r="M132" s="940">
        <f t="shared" si="16"/>
        <v>0</v>
      </c>
      <c r="N132" s="940">
        <f t="shared" si="16"/>
        <v>0</v>
      </c>
      <c r="O132" s="940">
        <f t="shared" si="16"/>
        <v>0</v>
      </c>
      <c r="P132" s="243">
        <f>SUM(D132:O132)</f>
        <v>0</v>
      </c>
    </row>
    <row r="133" spans="2:19" x14ac:dyDescent="0.2">
      <c r="B133" s="148"/>
      <c r="C133" s="937" t="str">
        <f>C127</f>
        <v>Precio unitario de compras:</v>
      </c>
      <c r="D133" s="743"/>
      <c r="E133" s="743"/>
      <c r="F133" s="743"/>
      <c r="G133" s="743"/>
      <c r="H133" s="743"/>
      <c r="I133" s="743"/>
      <c r="J133" s="743"/>
      <c r="K133" s="743"/>
      <c r="L133" s="743"/>
      <c r="M133" s="743"/>
      <c r="N133" s="743"/>
      <c r="O133" s="743"/>
      <c r="P133" s="942"/>
    </row>
    <row r="134" spans="2:19" ht="13.5" thickBot="1" x14ac:dyDescent="0.25">
      <c r="B134" s="943"/>
      <c r="C134" s="944" t="str">
        <f>C128</f>
        <v>Otros costes directos imputables al producto/servicio</v>
      </c>
      <c r="D134" s="1173"/>
      <c r="E134" s="1173"/>
      <c r="F134" s="1173"/>
      <c r="G134" s="1173"/>
      <c r="H134" s="1173"/>
      <c r="I134" s="1173"/>
      <c r="J134" s="1173"/>
      <c r="K134" s="1173"/>
      <c r="L134" s="1173"/>
      <c r="M134" s="1173"/>
      <c r="N134" s="1173"/>
      <c r="O134" s="1173"/>
      <c r="P134" s="945">
        <f>SUM(D134:O134)</f>
        <v>0</v>
      </c>
    </row>
    <row r="135" spans="2:19" ht="13.5" thickTop="1" x14ac:dyDescent="0.2">
      <c r="B135" s="1107">
        <f>B72</f>
        <v>0</v>
      </c>
      <c r="C135" s="1110"/>
      <c r="D135" s="1174"/>
      <c r="E135" s="1175"/>
      <c r="F135" s="1175"/>
      <c r="G135" s="1175"/>
      <c r="H135" s="1175"/>
      <c r="I135" s="1175"/>
      <c r="J135" s="1175"/>
      <c r="K135" s="1175"/>
      <c r="L135" s="1175"/>
      <c r="M135" s="1175"/>
      <c r="N135" s="1175"/>
      <c r="O135" s="1175"/>
      <c r="P135" s="53"/>
      <c r="S135" s="1064"/>
    </row>
    <row r="136" spans="2:19" x14ac:dyDescent="0.2">
      <c r="B136" s="1109"/>
      <c r="C136" s="937" t="str">
        <f>C130</f>
        <v>Unidades a vender:</v>
      </c>
      <c r="D136" s="208"/>
      <c r="E136" s="208"/>
      <c r="F136" s="208"/>
      <c r="G136" s="208"/>
      <c r="H136" s="208"/>
      <c r="I136" s="208"/>
      <c r="J136" s="208"/>
      <c r="K136" s="208"/>
      <c r="L136" s="208"/>
      <c r="M136" s="208"/>
      <c r="N136" s="208"/>
      <c r="O136" s="208"/>
      <c r="P136" s="243">
        <f>SUM(D136:O136)</f>
        <v>0</v>
      </c>
    </row>
    <row r="137" spans="2:19" x14ac:dyDescent="0.2">
      <c r="B137" s="938"/>
      <c r="C137" s="937" t="str">
        <f>C131</f>
        <v>Precio unitario de venta:</v>
      </c>
      <c r="D137" s="743"/>
      <c r="E137" s="743"/>
      <c r="F137" s="743"/>
      <c r="G137" s="743"/>
      <c r="H137" s="743"/>
      <c r="I137" s="743"/>
      <c r="J137" s="743"/>
      <c r="K137" s="743"/>
      <c r="L137" s="743"/>
      <c r="M137" s="743"/>
      <c r="N137" s="743"/>
      <c r="O137" s="743"/>
      <c r="P137" s="1140"/>
    </row>
    <row r="138" spans="2:19" x14ac:dyDescent="0.2">
      <c r="B138" s="148"/>
      <c r="C138" s="937" t="str">
        <f>C132</f>
        <v>Ingresos previstos por ventas:</v>
      </c>
      <c r="D138" s="940">
        <f t="shared" ref="D138:O138" si="17">D136*D137</f>
        <v>0</v>
      </c>
      <c r="E138" s="940">
        <f t="shared" si="17"/>
        <v>0</v>
      </c>
      <c r="F138" s="940">
        <f t="shared" si="17"/>
        <v>0</v>
      </c>
      <c r="G138" s="940">
        <f t="shared" si="17"/>
        <v>0</v>
      </c>
      <c r="H138" s="940">
        <f t="shared" si="17"/>
        <v>0</v>
      </c>
      <c r="I138" s="940">
        <f t="shared" si="17"/>
        <v>0</v>
      </c>
      <c r="J138" s="940">
        <f t="shared" si="17"/>
        <v>0</v>
      </c>
      <c r="K138" s="940">
        <f t="shared" si="17"/>
        <v>0</v>
      </c>
      <c r="L138" s="940">
        <f t="shared" si="17"/>
        <v>0</v>
      </c>
      <c r="M138" s="940">
        <f t="shared" si="17"/>
        <v>0</v>
      </c>
      <c r="N138" s="940">
        <f t="shared" si="17"/>
        <v>0</v>
      </c>
      <c r="O138" s="940">
        <f t="shared" si="17"/>
        <v>0</v>
      </c>
      <c r="P138" s="243">
        <f>SUM(D138:O138)</f>
        <v>0</v>
      </c>
    </row>
    <row r="139" spans="2:19" x14ac:dyDescent="0.2">
      <c r="B139" s="148"/>
      <c r="C139" s="937" t="str">
        <f>C133</f>
        <v>Precio unitario de compras:</v>
      </c>
      <c r="D139" s="743"/>
      <c r="E139" s="743"/>
      <c r="F139" s="743"/>
      <c r="G139" s="743"/>
      <c r="H139" s="743"/>
      <c r="I139" s="743"/>
      <c r="J139" s="743"/>
      <c r="K139" s="743"/>
      <c r="L139" s="743"/>
      <c r="M139" s="743"/>
      <c r="N139" s="743"/>
      <c r="O139" s="743"/>
      <c r="P139" s="942"/>
    </row>
    <row r="140" spans="2:19" ht="13.5" thickBot="1" x14ac:dyDescent="0.25">
      <c r="B140" s="943"/>
      <c r="C140" s="944" t="str">
        <f>C134</f>
        <v>Otros costes directos imputables al producto/servicio</v>
      </c>
      <c r="D140" s="1173"/>
      <c r="E140" s="1173"/>
      <c r="F140" s="1173"/>
      <c r="G140" s="1173"/>
      <c r="H140" s="1173"/>
      <c r="I140" s="1173"/>
      <c r="J140" s="1173"/>
      <c r="K140" s="1173"/>
      <c r="L140" s="1173"/>
      <c r="M140" s="1173"/>
      <c r="N140" s="1173"/>
      <c r="O140" s="1173"/>
      <c r="P140" s="945">
        <f>SUM(D140:O140)</f>
        <v>0</v>
      </c>
    </row>
    <row r="141" spans="2:19" ht="13.5" thickTop="1" x14ac:dyDescent="0.2">
      <c r="B141" s="1107">
        <f>B78</f>
        <v>0</v>
      </c>
      <c r="C141" s="1110"/>
      <c r="D141" s="1174"/>
      <c r="E141" s="1175"/>
      <c r="F141" s="1175"/>
      <c r="G141" s="1175"/>
      <c r="H141" s="1175"/>
      <c r="I141" s="1175"/>
      <c r="J141" s="1175"/>
      <c r="K141" s="1175"/>
      <c r="L141" s="1175"/>
      <c r="M141" s="1175"/>
      <c r="N141" s="1175"/>
      <c r="O141" s="1175"/>
      <c r="P141" s="53"/>
      <c r="S141" s="1064"/>
    </row>
    <row r="142" spans="2:19" x14ac:dyDescent="0.2">
      <c r="B142" s="1109"/>
      <c r="C142" s="937" t="str">
        <f>C136</f>
        <v>Unidades a vender:</v>
      </c>
      <c r="D142" s="208"/>
      <c r="E142" s="208"/>
      <c r="F142" s="208"/>
      <c r="G142" s="208"/>
      <c r="H142" s="208"/>
      <c r="I142" s="208"/>
      <c r="J142" s="208"/>
      <c r="K142" s="208"/>
      <c r="L142" s="208"/>
      <c r="M142" s="208"/>
      <c r="N142" s="208"/>
      <c r="O142" s="208"/>
      <c r="P142" s="243">
        <f>SUM(D142:O142)</f>
        <v>0</v>
      </c>
    </row>
    <row r="143" spans="2:19" x14ac:dyDescent="0.2">
      <c r="B143" s="938"/>
      <c r="C143" s="937" t="str">
        <f>C137</f>
        <v>Precio unitario de venta:</v>
      </c>
      <c r="D143" s="743"/>
      <c r="E143" s="743"/>
      <c r="F143" s="743"/>
      <c r="G143" s="743"/>
      <c r="H143" s="743"/>
      <c r="I143" s="743"/>
      <c r="J143" s="743"/>
      <c r="K143" s="743"/>
      <c r="L143" s="743"/>
      <c r="M143" s="743"/>
      <c r="N143" s="743"/>
      <c r="O143" s="743"/>
      <c r="P143" s="1140"/>
    </row>
    <row r="144" spans="2:19" x14ac:dyDescent="0.2">
      <c r="B144" s="148"/>
      <c r="C144" s="937" t="str">
        <f>C138</f>
        <v>Ingresos previstos por ventas:</v>
      </c>
      <c r="D144" s="940">
        <f t="shared" ref="D144:O144" si="18">D142*D143</f>
        <v>0</v>
      </c>
      <c r="E144" s="940">
        <f t="shared" si="18"/>
        <v>0</v>
      </c>
      <c r="F144" s="940">
        <f t="shared" si="18"/>
        <v>0</v>
      </c>
      <c r="G144" s="940">
        <f t="shared" si="18"/>
        <v>0</v>
      </c>
      <c r="H144" s="940">
        <f t="shared" si="18"/>
        <v>0</v>
      </c>
      <c r="I144" s="940">
        <f t="shared" si="18"/>
        <v>0</v>
      </c>
      <c r="J144" s="940">
        <f t="shared" si="18"/>
        <v>0</v>
      </c>
      <c r="K144" s="940">
        <f t="shared" si="18"/>
        <v>0</v>
      </c>
      <c r="L144" s="940">
        <f t="shared" si="18"/>
        <v>0</v>
      </c>
      <c r="M144" s="940">
        <f t="shared" si="18"/>
        <v>0</v>
      </c>
      <c r="N144" s="940">
        <f t="shared" si="18"/>
        <v>0</v>
      </c>
      <c r="O144" s="940">
        <f t="shared" si="18"/>
        <v>0</v>
      </c>
      <c r="P144" s="243">
        <f>SUM(D144:O144)</f>
        <v>0</v>
      </c>
    </row>
    <row r="145" spans="2:19" x14ac:dyDescent="0.2">
      <c r="B145" s="148"/>
      <c r="C145" s="937" t="str">
        <f>C139</f>
        <v>Precio unitario de compras:</v>
      </c>
      <c r="D145" s="743"/>
      <c r="E145" s="743"/>
      <c r="F145" s="743"/>
      <c r="G145" s="743"/>
      <c r="H145" s="743"/>
      <c r="I145" s="743"/>
      <c r="J145" s="743"/>
      <c r="K145" s="743"/>
      <c r="L145" s="743"/>
      <c r="M145" s="743"/>
      <c r="N145" s="743"/>
      <c r="O145" s="743"/>
      <c r="P145" s="942"/>
    </row>
    <row r="146" spans="2:19" ht="13.5" thickBot="1" x14ac:dyDescent="0.25">
      <c r="B146" s="943"/>
      <c r="C146" s="944" t="str">
        <f>C140</f>
        <v>Otros costes directos imputables al producto/servicio</v>
      </c>
      <c r="D146" s="1173"/>
      <c r="E146" s="1173"/>
      <c r="F146" s="1173"/>
      <c r="G146" s="1173"/>
      <c r="H146" s="1173"/>
      <c r="I146" s="1173"/>
      <c r="J146" s="1173"/>
      <c r="K146" s="1173"/>
      <c r="L146" s="1173"/>
      <c r="M146" s="1173"/>
      <c r="N146" s="1173"/>
      <c r="O146" s="1173"/>
      <c r="P146" s="945">
        <f>SUM(D146:O146)</f>
        <v>0</v>
      </c>
    </row>
    <row r="147" spans="2:19" ht="13.5" thickTop="1" x14ac:dyDescent="0.2">
      <c r="B147" s="1107">
        <f>B84</f>
        <v>0</v>
      </c>
      <c r="C147" s="1110"/>
      <c r="D147" s="1174"/>
      <c r="E147" s="1175"/>
      <c r="F147" s="1175"/>
      <c r="G147" s="1175"/>
      <c r="H147" s="1175"/>
      <c r="I147" s="1175"/>
      <c r="J147" s="1175"/>
      <c r="K147" s="1175"/>
      <c r="L147" s="1175"/>
      <c r="M147" s="1175"/>
      <c r="N147" s="1175"/>
      <c r="O147" s="1175"/>
      <c r="P147" s="53"/>
      <c r="S147" s="1064"/>
    </row>
    <row r="148" spans="2:19" x14ac:dyDescent="0.2">
      <c r="B148" s="1109"/>
      <c r="C148" s="937" t="str">
        <f>C142</f>
        <v>Unidades a vender:</v>
      </c>
      <c r="D148" s="208"/>
      <c r="E148" s="208"/>
      <c r="F148" s="208"/>
      <c r="G148" s="208"/>
      <c r="H148" s="208"/>
      <c r="I148" s="208"/>
      <c r="J148" s="208"/>
      <c r="K148" s="208"/>
      <c r="L148" s="208"/>
      <c r="M148" s="208"/>
      <c r="N148" s="208"/>
      <c r="O148" s="208"/>
      <c r="P148" s="243">
        <f>SUM(D148:O148)</f>
        <v>0</v>
      </c>
    </row>
    <row r="149" spans="2:19" x14ac:dyDescent="0.2">
      <c r="B149" s="938"/>
      <c r="C149" s="937" t="str">
        <f>C143</f>
        <v>Precio unitario de venta:</v>
      </c>
      <c r="D149" s="743"/>
      <c r="E149" s="743"/>
      <c r="F149" s="743"/>
      <c r="G149" s="743"/>
      <c r="H149" s="743"/>
      <c r="I149" s="743"/>
      <c r="J149" s="743"/>
      <c r="K149" s="743"/>
      <c r="L149" s="743"/>
      <c r="M149" s="743"/>
      <c r="N149" s="743"/>
      <c r="O149" s="743"/>
      <c r="P149" s="1140"/>
    </row>
    <row r="150" spans="2:19" x14ac:dyDescent="0.2">
      <c r="B150" s="148"/>
      <c r="C150" s="937" t="str">
        <f>C144</f>
        <v>Ingresos previstos por ventas:</v>
      </c>
      <c r="D150" s="940">
        <f t="shared" ref="D150:O150" si="19">D148*D149</f>
        <v>0</v>
      </c>
      <c r="E150" s="940">
        <f t="shared" si="19"/>
        <v>0</v>
      </c>
      <c r="F150" s="940">
        <f t="shared" si="19"/>
        <v>0</v>
      </c>
      <c r="G150" s="940">
        <f t="shared" si="19"/>
        <v>0</v>
      </c>
      <c r="H150" s="940">
        <f t="shared" si="19"/>
        <v>0</v>
      </c>
      <c r="I150" s="940">
        <f t="shared" si="19"/>
        <v>0</v>
      </c>
      <c r="J150" s="940">
        <f t="shared" si="19"/>
        <v>0</v>
      </c>
      <c r="K150" s="940">
        <f t="shared" si="19"/>
        <v>0</v>
      </c>
      <c r="L150" s="940">
        <f t="shared" si="19"/>
        <v>0</v>
      </c>
      <c r="M150" s="940">
        <f t="shared" si="19"/>
        <v>0</v>
      </c>
      <c r="N150" s="940">
        <f t="shared" si="19"/>
        <v>0</v>
      </c>
      <c r="O150" s="940">
        <f t="shared" si="19"/>
        <v>0</v>
      </c>
      <c r="P150" s="243">
        <f>SUM(D150:O150)</f>
        <v>0</v>
      </c>
    </row>
    <row r="151" spans="2:19" x14ac:dyDescent="0.2">
      <c r="B151" s="148"/>
      <c r="C151" s="937" t="str">
        <f>C145</f>
        <v>Precio unitario de compras:</v>
      </c>
      <c r="D151" s="743"/>
      <c r="E151" s="743"/>
      <c r="F151" s="743"/>
      <c r="G151" s="743"/>
      <c r="H151" s="743"/>
      <c r="I151" s="743"/>
      <c r="J151" s="743"/>
      <c r="K151" s="743"/>
      <c r="L151" s="743"/>
      <c r="M151" s="743"/>
      <c r="N151" s="743"/>
      <c r="O151" s="743"/>
      <c r="P151" s="942"/>
    </row>
    <row r="152" spans="2:19" ht="13.5" thickBot="1" x14ac:dyDescent="0.25">
      <c r="B152" s="943"/>
      <c r="C152" s="944" t="str">
        <f>C146</f>
        <v>Otros costes directos imputables al producto/servicio</v>
      </c>
      <c r="D152" s="1173"/>
      <c r="E152" s="1173"/>
      <c r="F152" s="1173"/>
      <c r="G152" s="1173"/>
      <c r="H152" s="1173"/>
      <c r="I152" s="1173"/>
      <c r="J152" s="1173"/>
      <c r="K152" s="1173"/>
      <c r="L152" s="1173"/>
      <c r="M152" s="1173"/>
      <c r="N152" s="1173"/>
      <c r="O152" s="1173"/>
      <c r="P152" s="945">
        <f>SUM(D152:O152)</f>
        <v>0</v>
      </c>
    </row>
    <row r="153" spans="2:19" ht="13.5" thickTop="1" x14ac:dyDescent="0.2">
      <c r="D153" s="1176" t="s">
        <v>135</v>
      </c>
      <c r="E153" s="587"/>
      <c r="F153" s="587"/>
      <c r="G153" s="587"/>
      <c r="H153" s="587"/>
      <c r="I153" s="587"/>
      <c r="J153" s="587"/>
      <c r="K153" s="587"/>
      <c r="L153" s="587"/>
      <c r="M153" s="587"/>
      <c r="N153" s="587"/>
      <c r="O153" s="587"/>
    </row>
    <row r="154" spans="2:19" ht="15.75" x14ac:dyDescent="0.25">
      <c r="B154" s="138" t="s">
        <v>5</v>
      </c>
      <c r="C154" s="138"/>
      <c r="D154"/>
      <c r="E154" s="8"/>
      <c r="F154" s="7"/>
      <c r="G154" s="7"/>
      <c r="H154" s="7"/>
      <c r="I154" s="7"/>
      <c r="J154" s="7"/>
      <c r="K154" s="7"/>
      <c r="L154" s="7"/>
      <c r="M154" s="7"/>
      <c r="N154" s="7"/>
      <c r="O154" s="7"/>
      <c r="P154" s="7"/>
    </row>
    <row r="155" spans="2:19" x14ac:dyDescent="0.2">
      <c r="B155" s="689" t="s">
        <v>116</v>
      </c>
      <c r="C155" s="936"/>
      <c r="D155" s="105" t="s">
        <v>117</v>
      </c>
      <c r="E155" s="20" t="s">
        <v>118</v>
      </c>
      <c r="F155" s="105" t="s">
        <v>119</v>
      </c>
      <c r="G155" s="105" t="s">
        <v>120</v>
      </c>
      <c r="H155" s="105" t="s">
        <v>121</v>
      </c>
      <c r="I155" s="105" t="s">
        <v>122</v>
      </c>
      <c r="J155" s="105" t="s">
        <v>123</v>
      </c>
      <c r="K155" s="105" t="s">
        <v>124</v>
      </c>
      <c r="L155" s="105" t="s">
        <v>125</v>
      </c>
      <c r="M155" s="105" t="s">
        <v>126</v>
      </c>
      <c r="N155" s="105" t="s">
        <v>127</v>
      </c>
      <c r="O155" s="105" t="s">
        <v>128</v>
      </c>
      <c r="P155" s="105" t="s">
        <v>129</v>
      </c>
    </row>
    <row r="156" spans="2:19" x14ac:dyDescent="0.2">
      <c r="B156" s="1107" t="str">
        <f>B30</f>
        <v>Producto o servicio 1</v>
      </c>
      <c r="C156" s="1108"/>
      <c r="D156" s="1111"/>
      <c r="E156" s="1111"/>
      <c r="F156" s="1111"/>
      <c r="G156" s="1111"/>
      <c r="H156" s="1111"/>
      <c r="I156" s="1111"/>
      <c r="J156" s="1111"/>
      <c r="K156" s="1111"/>
      <c r="L156" s="1111"/>
      <c r="M156" s="1111"/>
      <c r="N156" s="1111"/>
      <c r="O156" s="1111"/>
      <c r="P156" s="53"/>
    </row>
    <row r="157" spans="2:19" x14ac:dyDescent="0.2">
      <c r="B157" s="1109"/>
      <c r="C157" s="937" t="str">
        <f>C148</f>
        <v>Unidades a vender:</v>
      </c>
      <c r="D157" s="208"/>
      <c r="E157" s="208"/>
      <c r="F157" s="208"/>
      <c r="G157" s="208"/>
      <c r="H157" s="208"/>
      <c r="I157" s="208"/>
      <c r="J157" s="208"/>
      <c r="K157" s="208"/>
      <c r="L157" s="208"/>
      <c r="M157" s="208"/>
      <c r="N157" s="208"/>
      <c r="O157" s="208"/>
      <c r="P157" s="243">
        <f>SUM(D157:O157)</f>
        <v>0</v>
      </c>
    </row>
    <row r="158" spans="2:19" x14ac:dyDescent="0.2">
      <c r="B158" s="938"/>
      <c r="C158" s="937" t="str">
        <f>C149</f>
        <v>Precio unitario de venta:</v>
      </c>
      <c r="D158" s="743"/>
      <c r="E158" s="743"/>
      <c r="F158" s="743"/>
      <c r="G158" s="743"/>
      <c r="H158" s="743"/>
      <c r="I158" s="743"/>
      <c r="J158" s="743"/>
      <c r="K158" s="743"/>
      <c r="L158" s="743"/>
      <c r="M158" s="743"/>
      <c r="N158" s="743"/>
      <c r="O158" s="743"/>
      <c r="P158" s="1140"/>
    </row>
    <row r="159" spans="2:19" x14ac:dyDescent="0.2">
      <c r="B159" s="148"/>
      <c r="C159" s="937" t="str">
        <f>C150</f>
        <v>Ingresos previstos por ventas:</v>
      </c>
      <c r="D159" s="940">
        <f t="shared" ref="D159:O159" si="20">D157*D158</f>
        <v>0</v>
      </c>
      <c r="E159" s="940">
        <f t="shared" si="20"/>
        <v>0</v>
      </c>
      <c r="F159" s="940">
        <f t="shared" si="20"/>
        <v>0</v>
      </c>
      <c r="G159" s="940">
        <f t="shared" si="20"/>
        <v>0</v>
      </c>
      <c r="H159" s="940">
        <f t="shared" si="20"/>
        <v>0</v>
      </c>
      <c r="I159" s="940">
        <f t="shared" si="20"/>
        <v>0</v>
      </c>
      <c r="J159" s="940">
        <f t="shared" si="20"/>
        <v>0</v>
      </c>
      <c r="K159" s="940">
        <f t="shared" si="20"/>
        <v>0</v>
      </c>
      <c r="L159" s="940">
        <f t="shared" si="20"/>
        <v>0</v>
      </c>
      <c r="M159" s="940">
        <f t="shared" si="20"/>
        <v>0</v>
      </c>
      <c r="N159" s="940">
        <f t="shared" si="20"/>
        <v>0</v>
      </c>
      <c r="O159" s="940">
        <f t="shared" si="20"/>
        <v>0</v>
      </c>
      <c r="P159" s="243">
        <f>SUM(D159:O159)</f>
        <v>0</v>
      </c>
    </row>
    <row r="160" spans="2:19" x14ac:dyDescent="0.2">
      <c r="B160" s="148"/>
      <c r="C160" s="937" t="str">
        <f>C151</f>
        <v>Precio unitario de compras:</v>
      </c>
      <c r="D160" s="743"/>
      <c r="E160" s="743"/>
      <c r="F160" s="743"/>
      <c r="G160" s="743"/>
      <c r="H160" s="743"/>
      <c r="I160" s="743"/>
      <c r="J160" s="743"/>
      <c r="K160" s="743"/>
      <c r="L160" s="743"/>
      <c r="M160" s="743"/>
      <c r="N160" s="743"/>
      <c r="O160" s="743"/>
      <c r="P160" s="942"/>
    </row>
    <row r="161" spans="2:19" ht="13.5" thickBot="1" x14ac:dyDescent="0.25">
      <c r="B161" s="943"/>
      <c r="C161" s="944" t="str">
        <f>C152</f>
        <v>Otros costes directos imputables al producto/servicio</v>
      </c>
      <c r="D161" s="1173"/>
      <c r="E161" s="1173"/>
      <c r="F161" s="1173"/>
      <c r="G161" s="1173"/>
      <c r="H161" s="1173"/>
      <c r="I161" s="1173"/>
      <c r="J161" s="1173"/>
      <c r="K161" s="1173"/>
      <c r="L161" s="1173"/>
      <c r="M161" s="1173"/>
      <c r="N161" s="1173"/>
      <c r="O161" s="1173"/>
      <c r="P161" s="945">
        <f>SUM(D161:O161)</f>
        <v>0</v>
      </c>
    </row>
    <row r="162" spans="2:19" ht="13.5" thickTop="1" x14ac:dyDescent="0.2">
      <c r="B162" s="1107" t="str">
        <f>B36</f>
        <v>Producto o servicio 2</v>
      </c>
      <c r="C162" s="1110"/>
      <c r="D162" s="1174"/>
      <c r="E162" s="1175"/>
      <c r="F162" s="1175"/>
      <c r="G162" s="1175"/>
      <c r="H162" s="1175"/>
      <c r="I162" s="1175"/>
      <c r="J162" s="1175"/>
      <c r="K162" s="1175"/>
      <c r="L162" s="1175"/>
      <c r="M162" s="1175"/>
      <c r="N162" s="1175"/>
      <c r="O162" s="1175"/>
      <c r="P162" s="53"/>
    </row>
    <row r="163" spans="2:19" x14ac:dyDescent="0.2">
      <c r="B163" s="1109"/>
      <c r="C163" s="937" t="str">
        <f>C157</f>
        <v>Unidades a vender:</v>
      </c>
      <c r="D163" s="208"/>
      <c r="E163" s="208"/>
      <c r="F163" s="208"/>
      <c r="G163" s="208"/>
      <c r="H163" s="208"/>
      <c r="I163" s="208"/>
      <c r="J163" s="208"/>
      <c r="K163" s="208"/>
      <c r="L163" s="208"/>
      <c r="M163" s="208"/>
      <c r="N163" s="208"/>
      <c r="O163" s="208"/>
      <c r="P163" s="243">
        <f>SUM(D163:O163)</f>
        <v>0</v>
      </c>
    </row>
    <row r="164" spans="2:19" x14ac:dyDescent="0.2">
      <c r="B164" s="938"/>
      <c r="C164" s="937" t="str">
        <f>C158</f>
        <v>Precio unitario de venta:</v>
      </c>
      <c r="D164" s="743"/>
      <c r="E164" s="743"/>
      <c r="F164" s="743"/>
      <c r="G164" s="743"/>
      <c r="H164" s="743"/>
      <c r="I164" s="743"/>
      <c r="J164" s="743"/>
      <c r="K164" s="743"/>
      <c r="L164" s="743"/>
      <c r="M164" s="743"/>
      <c r="N164" s="743"/>
      <c r="O164" s="743"/>
      <c r="P164" s="1140"/>
    </row>
    <row r="165" spans="2:19" x14ac:dyDescent="0.2">
      <c r="B165" s="148"/>
      <c r="C165" s="937" t="str">
        <f>C159</f>
        <v>Ingresos previstos por ventas:</v>
      </c>
      <c r="D165" s="940">
        <f t="shared" ref="D165:O165" si="21">D163*D164</f>
        <v>0</v>
      </c>
      <c r="E165" s="940">
        <f t="shared" si="21"/>
        <v>0</v>
      </c>
      <c r="F165" s="940">
        <f t="shared" si="21"/>
        <v>0</v>
      </c>
      <c r="G165" s="940">
        <f t="shared" si="21"/>
        <v>0</v>
      </c>
      <c r="H165" s="940">
        <f t="shared" si="21"/>
        <v>0</v>
      </c>
      <c r="I165" s="940">
        <f t="shared" si="21"/>
        <v>0</v>
      </c>
      <c r="J165" s="940">
        <f t="shared" si="21"/>
        <v>0</v>
      </c>
      <c r="K165" s="940">
        <f t="shared" si="21"/>
        <v>0</v>
      </c>
      <c r="L165" s="940">
        <f t="shared" si="21"/>
        <v>0</v>
      </c>
      <c r="M165" s="940">
        <f t="shared" si="21"/>
        <v>0</v>
      </c>
      <c r="N165" s="940">
        <f t="shared" si="21"/>
        <v>0</v>
      </c>
      <c r="O165" s="940">
        <f t="shared" si="21"/>
        <v>0</v>
      </c>
      <c r="P165" s="243">
        <f>SUM(D165:O165)</f>
        <v>0</v>
      </c>
    </row>
    <row r="166" spans="2:19" x14ac:dyDescent="0.2">
      <c r="B166" s="148"/>
      <c r="C166" s="937" t="str">
        <f>C160</f>
        <v>Precio unitario de compras:</v>
      </c>
      <c r="D166" s="743"/>
      <c r="E166" s="743"/>
      <c r="F166" s="743"/>
      <c r="G166" s="743"/>
      <c r="H166" s="743"/>
      <c r="I166" s="743"/>
      <c r="J166" s="743"/>
      <c r="K166" s="743"/>
      <c r="L166" s="743"/>
      <c r="M166" s="743"/>
      <c r="N166" s="743"/>
      <c r="O166" s="743"/>
      <c r="P166" s="942"/>
    </row>
    <row r="167" spans="2:19" ht="13.5" thickBot="1" x14ac:dyDescent="0.25">
      <c r="B167" s="943"/>
      <c r="C167" s="944" t="str">
        <f>C161</f>
        <v>Otros costes directos imputables al producto/servicio</v>
      </c>
      <c r="D167" s="1173"/>
      <c r="E167" s="1173"/>
      <c r="F167" s="1173"/>
      <c r="G167" s="1173"/>
      <c r="H167" s="1173"/>
      <c r="I167" s="1173"/>
      <c r="J167" s="1173"/>
      <c r="K167" s="1173"/>
      <c r="L167" s="1173"/>
      <c r="M167" s="1173"/>
      <c r="N167" s="1173"/>
      <c r="O167" s="1173"/>
      <c r="P167" s="945">
        <f>SUM(D167:O167)</f>
        <v>0</v>
      </c>
    </row>
    <row r="168" spans="2:19" ht="13.5" thickTop="1" x14ac:dyDescent="0.2">
      <c r="B168" s="1107" t="str">
        <f>B42</f>
        <v>Producto o servicio 3</v>
      </c>
      <c r="C168" s="1110"/>
      <c r="D168" s="1174"/>
      <c r="E168" s="1175"/>
      <c r="F168" s="1175"/>
      <c r="G168" s="1175"/>
      <c r="H168" s="1175"/>
      <c r="I168" s="1175"/>
      <c r="J168" s="1175"/>
      <c r="K168" s="1175"/>
      <c r="L168" s="1175"/>
      <c r="M168" s="1175"/>
      <c r="N168" s="1175"/>
      <c r="O168" s="1175"/>
      <c r="P168" s="53"/>
      <c r="S168" s="1064"/>
    </row>
    <row r="169" spans="2:19" x14ac:dyDescent="0.2">
      <c r="B169" s="1109"/>
      <c r="C169" s="937" t="str">
        <f>C163</f>
        <v>Unidades a vender:</v>
      </c>
      <c r="D169" s="208"/>
      <c r="E169" s="208"/>
      <c r="F169" s="208"/>
      <c r="G169" s="208"/>
      <c r="H169" s="208"/>
      <c r="I169" s="208"/>
      <c r="J169" s="208"/>
      <c r="K169" s="208"/>
      <c r="L169" s="208"/>
      <c r="M169" s="208"/>
      <c r="N169" s="208"/>
      <c r="O169" s="208"/>
      <c r="P169" s="243">
        <f>SUM(D169:O169)</f>
        <v>0</v>
      </c>
    </row>
    <row r="170" spans="2:19" x14ac:dyDescent="0.2">
      <c r="B170" s="938"/>
      <c r="C170" s="937" t="str">
        <f>C164</f>
        <v>Precio unitario de venta:</v>
      </c>
      <c r="D170" s="743"/>
      <c r="E170" s="743"/>
      <c r="F170" s="743"/>
      <c r="G170" s="743"/>
      <c r="H170" s="743"/>
      <c r="I170" s="743"/>
      <c r="J170" s="743"/>
      <c r="K170" s="743"/>
      <c r="L170" s="743"/>
      <c r="M170" s="743"/>
      <c r="N170" s="743"/>
      <c r="O170" s="743"/>
      <c r="P170" s="1140"/>
    </row>
    <row r="171" spans="2:19" x14ac:dyDescent="0.2">
      <c r="B171" s="148"/>
      <c r="C171" s="937" t="str">
        <f>C165</f>
        <v>Ingresos previstos por ventas:</v>
      </c>
      <c r="D171" s="940">
        <f t="shared" ref="D171:O171" si="22">D169*D170</f>
        <v>0</v>
      </c>
      <c r="E171" s="940">
        <f t="shared" si="22"/>
        <v>0</v>
      </c>
      <c r="F171" s="940">
        <f t="shared" si="22"/>
        <v>0</v>
      </c>
      <c r="G171" s="940">
        <f t="shared" si="22"/>
        <v>0</v>
      </c>
      <c r="H171" s="940">
        <f t="shared" si="22"/>
        <v>0</v>
      </c>
      <c r="I171" s="940">
        <f t="shared" si="22"/>
        <v>0</v>
      </c>
      <c r="J171" s="940">
        <f t="shared" si="22"/>
        <v>0</v>
      </c>
      <c r="K171" s="940">
        <f t="shared" si="22"/>
        <v>0</v>
      </c>
      <c r="L171" s="940">
        <f t="shared" si="22"/>
        <v>0</v>
      </c>
      <c r="M171" s="940">
        <f t="shared" si="22"/>
        <v>0</v>
      </c>
      <c r="N171" s="940">
        <f t="shared" si="22"/>
        <v>0</v>
      </c>
      <c r="O171" s="940">
        <f t="shared" si="22"/>
        <v>0</v>
      </c>
      <c r="P171" s="243">
        <f>SUM(D171:O171)</f>
        <v>0</v>
      </c>
    </row>
    <row r="172" spans="2:19" x14ac:dyDescent="0.2">
      <c r="B172" s="148"/>
      <c r="C172" s="937" t="str">
        <f>C166</f>
        <v>Precio unitario de compras:</v>
      </c>
      <c r="D172" s="743"/>
      <c r="E172" s="743"/>
      <c r="F172" s="743"/>
      <c r="G172" s="743"/>
      <c r="H172" s="743"/>
      <c r="I172" s="743"/>
      <c r="J172" s="743"/>
      <c r="K172" s="743"/>
      <c r="L172" s="743"/>
      <c r="M172" s="743"/>
      <c r="N172" s="743"/>
      <c r="O172" s="743"/>
      <c r="P172" s="942"/>
    </row>
    <row r="173" spans="2:19" ht="13.5" thickBot="1" x14ac:dyDescent="0.25">
      <c r="B173" s="943"/>
      <c r="C173" s="944" t="str">
        <f>C167</f>
        <v>Otros costes directos imputables al producto/servicio</v>
      </c>
      <c r="D173" s="1173"/>
      <c r="E173" s="1173"/>
      <c r="F173" s="1173"/>
      <c r="G173" s="1173"/>
      <c r="H173" s="1173"/>
      <c r="I173" s="1173"/>
      <c r="J173" s="1173"/>
      <c r="K173" s="1173"/>
      <c r="L173" s="1173"/>
      <c r="M173" s="1173"/>
      <c r="N173" s="1173"/>
      <c r="O173" s="1173"/>
      <c r="P173" s="945">
        <f>SUM(D173:O173)</f>
        <v>0</v>
      </c>
    </row>
    <row r="174" spans="2:19" ht="13.5" thickTop="1" x14ac:dyDescent="0.2">
      <c r="B174" s="1107">
        <f>B48</f>
        <v>0</v>
      </c>
      <c r="C174" s="1110"/>
      <c r="D174" s="1174"/>
      <c r="E174" s="1175"/>
      <c r="F174" s="1175"/>
      <c r="G174" s="1175"/>
      <c r="H174" s="1175"/>
      <c r="I174" s="1175"/>
      <c r="J174" s="1175"/>
      <c r="K174" s="1175"/>
      <c r="L174" s="1175"/>
      <c r="M174" s="1175"/>
      <c r="N174" s="1175"/>
      <c r="O174" s="1175"/>
      <c r="P174" s="53"/>
    </row>
    <row r="175" spans="2:19" x14ac:dyDescent="0.2">
      <c r="B175" s="1109"/>
      <c r="C175" s="937" t="str">
        <f>C169</f>
        <v>Unidades a vender:</v>
      </c>
      <c r="D175" s="208"/>
      <c r="E175" s="208"/>
      <c r="F175" s="208"/>
      <c r="G175" s="208"/>
      <c r="H175" s="208"/>
      <c r="I175" s="208"/>
      <c r="J175" s="208"/>
      <c r="K175" s="208"/>
      <c r="L175" s="208"/>
      <c r="M175" s="208"/>
      <c r="N175" s="208"/>
      <c r="O175" s="208"/>
      <c r="P175" s="243">
        <f>SUM(D175:O175)</f>
        <v>0</v>
      </c>
    </row>
    <row r="176" spans="2:19" x14ac:dyDescent="0.2">
      <c r="B176" s="938"/>
      <c r="C176" s="937" t="str">
        <f>C170</f>
        <v>Precio unitario de venta:</v>
      </c>
      <c r="D176" s="743"/>
      <c r="E176" s="743"/>
      <c r="F176" s="743"/>
      <c r="G176" s="743"/>
      <c r="H176" s="743"/>
      <c r="I176" s="743"/>
      <c r="J176" s="743"/>
      <c r="K176" s="743"/>
      <c r="L176" s="743"/>
      <c r="M176" s="743"/>
      <c r="N176" s="743"/>
      <c r="O176" s="743"/>
      <c r="P176" s="1140"/>
    </row>
    <row r="177" spans="2:19" x14ac:dyDescent="0.2">
      <c r="B177" s="148"/>
      <c r="C177" s="937" t="str">
        <f>C171</f>
        <v>Ingresos previstos por ventas:</v>
      </c>
      <c r="D177" s="940">
        <f t="shared" ref="D177:O177" si="23">D175*D176</f>
        <v>0</v>
      </c>
      <c r="E177" s="940">
        <f t="shared" si="23"/>
        <v>0</v>
      </c>
      <c r="F177" s="940">
        <f t="shared" si="23"/>
        <v>0</v>
      </c>
      <c r="G177" s="940">
        <f t="shared" si="23"/>
        <v>0</v>
      </c>
      <c r="H177" s="940">
        <f t="shared" si="23"/>
        <v>0</v>
      </c>
      <c r="I177" s="940">
        <f t="shared" si="23"/>
        <v>0</v>
      </c>
      <c r="J177" s="940">
        <f t="shared" si="23"/>
        <v>0</v>
      </c>
      <c r="K177" s="940">
        <f t="shared" si="23"/>
        <v>0</v>
      </c>
      <c r="L177" s="940">
        <f t="shared" si="23"/>
        <v>0</v>
      </c>
      <c r="M177" s="940">
        <f t="shared" si="23"/>
        <v>0</v>
      </c>
      <c r="N177" s="940">
        <f t="shared" si="23"/>
        <v>0</v>
      </c>
      <c r="O177" s="940">
        <f t="shared" si="23"/>
        <v>0</v>
      </c>
      <c r="P177" s="243">
        <f>SUM(D177:O177)</f>
        <v>0</v>
      </c>
    </row>
    <row r="178" spans="2:19" x14ac:dyDescent="0.2">
      <c r="B178" s="148"/>
      <c r="C178" s="937" t="str">
        <f>C172</f>
        <v>Precio unitario de compras:</v>
      </c>
      <c r="D178" s="743"/>
      <c r="E178" s="743"/>
      <c r="F178" s="743"/>
      <c r="G178" s="743"/>
      <c r="H178" s="743"/>
      <c r="I178" s="743"/>
      <c r="J178" s="743"/>
      <c r="K178" s="743"/>
      <c r="L178" s="743"/>
      <c r="M178" s="743"/>
      <c r="N178" s="743"/>
      <c r="O178" s="743"/>
      <c r="P178" s="942"/>
    </row>
    <row r="179" spans="2:19" ht="13.5" thickBot="1" x14ac:dyDescent="0.25">
      <c r="B179" s="943"/>
      <c r="C179" s="944" t="str">
        <f>C173</f>
        <v>Otros costes directos imputables al producto/servicio</v>
      </c>
      <c r="D179" s="1173"/>
      <c r="E179" s="1173"/>
      <c r="F179" s="1173"/>
      <c r="G179" s="1173"/>
      <c r="H179" s="1173"/>
      <c r="I179" s="1173"/>
      <c r="J179" s="1173"/>
      <c r="K179" s="1173"/>
      <c r="L179" s="1173"/>
      <c r="M179" s="1173"/>
      <c r="N179" s="1173"/>
      <c r="O179" s="1173"/>
      <c r="P179" s="945">
        <f>SUM(D179:O179)</f>
        <v>0</v>
      </c>
    </row>
    <row r="180" spans="2:19" ht="13.5" thickTop="1" x14ac:dyDescent="0.2">
      <c r="B180" s="1107">
        <f>B54</f>
        <v>0</v>
      </c>
      <c r="C180" s="1110"/>
      <c r="D180" s="1174"/>
      <c r="E180" s="1175"/>
      <c r="F180" s="1175"/>
      <c r="G180" s="1175"/>
      <c r="H180" s="1175"/>
      <c r="I180" s="1175"/>
      <c r="J180" s="1175"/>
      <c r="K180" s="1175"/>
      <c r="L180" s="1175"/>
      <c r="M180" s="1175"/>
      <c r="N180" s="1175"/>
      <c r="O180" s="1175"/>
      <c r="P180" s="53"/>
      <c r="S180" s="1064"/>
    </row>
    <row r="181" spans="2:19" x14ac:dyDescent="0.2">
      <c r="B181" s="1109"/>
      <c r="C181" s="937" t="str">
        <f>C175</f>
        <v>Unidades a vender:</v>
      </c>
      <c r="D181" s="208"/>
      <c r="E181" s="208"/>
      <c r="F181" s="208"/>
      <c r="G181" s="208"/>
      <c r="H181" s="208"/>
      <c r="I181" s="208"/>
      <c r="J181" s="208"/>
      <c r="K181" s="208"/>
      <c r="L181" s="208"/>
      <c r="M181" s="208"/>
      <c r="N181" s="208"/>
      <c r="O181" s="208"/>
      <c r="P181" s="243">
        <f>SUM(D181:O181)</f>
        <v>0</v>
      </c>
    </row>
    <row r="182" spans="2:19" x14ac:dyDescent="0.2">
      <c r="B182" s="938"/>
      <c r="C182" s="937" t="str">
        <f>C176</f>
        <v>Precio unitario de venta:</v>
      </c>
      <c r="D182" s="743"/>
      <c r="E182" s="743"/>
      <c r="F182" s="743"/>
      <c r="G182" s="743"/>
      <c r="H182" s="743"/>
      <c r="I182" s="743"/>
      <c r="J182" s="743"/>
      <c r="K182" s="743"/>
      <c r="L182" s="743"/>
      <c r="M182" s="743"/>
      <c r="N182" s="743"/>
      <c r="O182" s="743"/>
      <c r="P182" s="1140"/>
    </row>
    <row r="183" spans="2:19" x14ac:dyDescent="0.2">
      <c r="B183" s="148"/>
      <c r="C183" s="937" t="str">
        <f>C177</f>
        <v>Ingresos previstos por ventas:</v>
      </c>
      <c r="D183" s="940">
        <f t="shared" ref="D183:O183" si="24">D181*D182</f>
        <v>0</v>
      </c>
      <c r="E183" s="940">
        <f t="shared" si="24"/>
        <v>0</v>
      </c>
      <c r="F183" s="940">
        <f t="shared" si="24"/>
        <v>0</v>
      </c>
      <c r="G183" s="940">
        <f t="shared" si="24"/>
        <v>0</v>
      </c>
      <c r="H183" s="940">
        <f t="shared" si="24"/>
        <v>0</v>
      </c>
      <c r="I183" s="940">
        <f t="shared" si="24"/>
        <v>0</v>
      </c>
      <c r="J183" s="940">
        <f t="shared" si="24"/>
        <v>0</v>
      </c>
      <c r="K183" s="940">
        <f t="shared" si="24"/>
        <v>0</v>
      </c>
      <c r="L183" s="940">
        <f t="shared" si="24"/>
        <v>0</v>
      </c>
      <c r="M183" s="940">
        <f t="shared" si="24"/>
        <v>0</v>
      </c>
      <c r="N183" s="940">
        <f t="shared" si="24"/>
        <v>0</v>
      </c>
      <c r="O183" s="940">
        <f t="shared" si="24"/>
        <v>0</v>
      </c>
      <c r="P183" s="243">
        <f>SUM(D183:O183)</f>
        <v>0</v>
      </c>
    </row>
    <row r="184" spans="2:19" x14ac:dyDescent="0.2">
      <c r="B184" s="148"/>
      <c r="C184" s="937" t="str">
        <f>C178</f>
        <v>Precio unitario de compras:</v>
      </c>
      <c r="D184" s="743"/>
      <c r="E184" s="743"/>
      <c r="F184" s="743"/>
      <c r="G184" s="743"/>
      <c r="H184" s="743"/>
      <c r="I184" s="743"/>
      <c r="J184" s="743"/>
      <c r="K184" s="743"/>
      <c r="L184" s="743"/>
      <c r="M184" s="743"/>
      <c r="N184" s="743"/>
      <c r="O184" s="743"/>
      <c r="P184" s="942"/>
    </row>
    <row r="185" spans="2:19" ht="13.5" thickBot="1" x14ac:dyDescent="0.25">
      <c r="B185" s="943"/>
      <c r="C185" s="944" t="str">
        <f>C179</f>
        <v>Otros costes directos imputables al producto/servicio</v>
      </c>
      <c r="D185" s="1173"/>
      <c r="E185" s="1173"/>
      <c r="F185" s="1173"/>
      <c r="G185" s="1173"/>
      <c r="H185" s="1173"/>
      <c r="I185" s="1173"/>
      <c r="J185" s="1173"/>
      <c r="K185" s="1173"/>
      <c r="L185" s="1173"/>
      <c r="M185" s="1173"/>
      <c r="N185" s="1173"/>
      <c r="O185" s="1173"/>
      <c r="P185" s="945">
        <f>SUM(D185:O185)</f>
        <v>0</v>
      </c>
    </row>
    <row r="186" spans="2:19" ht="13.5" thickTop="1" x14ac:dyDescent="0.2">
      <c r="B186" s="1107">
        <f>B60</f>
        <v>0</v>
      </c>
      <c r="C186" s="1110"/>
      <c r="D186" s="1174"/>
      <c r="E186" s="1175"/>
      <c r="F186" s="1175"/>
      <c r="G186" s="1175"/>
      <c r="H186" s="1175"/>
      <c r="I186" s="1175"/>
      <c r="J186" s="1175"/>
      <c r="K186" s="1175"/>
      <c r="L186" s="1175"/>
      <c r="M186" s="1175"/>
      <c r="N186" s="1175"/>
      <c r="O186" s="1175"/>
      <c r="P186" s="53"/>
      <c r="S186" s="1064"/>
    </row>
    <row r="187" spans="2:19" x14ac:dyDescent="0.2">
      <c r="B187" s="1109"/>
      <c r="C187" s="937" t="str">
        <f>C181</f>
        <v>Unidades a vender:</v>
      </c>
      <c r="D187" s="208"/>
      <c r="E187" s="208"/>
      <c r="F187" s="208"/>
      <c r="G187" s="208"/>
      <c r="H187" s="208"/>
      <c r="I187" s="208"/>
      <c r="J187" s="208"/>
      <c r="K187" s="208"/>
      <c r="L187" s="208"/>
      <c r="M187" s="208"/>
      <c r="N187" s="208"/>
      <c r="O187" s="208"/>
      <c r="P187" s="243">
        <f>SUM(D187:O187)</f>
        <v>0</v>
      </c>
    </row>
    <row r="188" spans="2:19" x14ac:dyDescent="0.2">
      <c r="B188" s="938"/>
      <c r="C188" s="937" t="str">
        <f>C182</f>
        <v>Precio unitario de venta:</v>
      </c>
      <c r="D188" s="743"/>
      <c r="E188" s="743"/>
      <c r="F188" s="743"/>
      <c r="G188" s="743"/>
      <c r="H188" s="743"/>
      <c r="I188" s="743"/>
      <c r="J188" s="743"/>
      <c r="K188" s="743"/>
      <c r="L188" s="743"/>
      <c r="M188" s="743"/>
      <c r="N188" s="743"/>
      <c r="O188" s="743"/>
      <c r="P188" s="1140"/>
    </row>
    <row r="189" spans="2:19" x14ac:dyDescent="0.2">
      <c r="B189" s="148"/>
      <c r="C189" s="937" t="str">
        <f>C183</f>
        <v>Ingresos previstos por ventas:</v>
      </c>
      <c r="D189" s="940">
        <f t="shared" ref="D189:O189" si="25">D187*D188</f>
        <v>0</v>
      </c>
      <c r="E189" s="940">
        <f t="shared" si="25"/>
        <v>0</v>
      </c>
      <c r="F189" s="940">
        <f t="shared" si="25"/>
        <v>0</v>
      </c>
      <c r="G189" s="940">
        <f t="shared" si="25"/>
        <v>0</v>
      </c>
      <c r="H189" s="940">
        <f t="shared" si="25"/>
        <v>0</v>
      </c>
      <c r="I189" s="940">
        <f t="shared" si="25"/>
        <v>0</v>
      </c>
      <c r="J189" s="940">
        <f t="shared" si="25"/>
        <v>0</v>
      </c>
      <c r="K189" s="940">
        <f t="shared" si="25"/>
        <v>0</v>
      </c>
      <c r="L189" s="940">
        <f t="shared" si="25"/>
        <v>0</v>
      </c>
      <c r="M189" s="940">
        <f t="shared" si="25"/>
        <v>0</v>
      </c>
      <c r="N189" s="940">
        <f t="shared" si="25"/>
        <v>0</v>
      </c>
      <c r="O189" s="940">
        <f t="shared" si="25"/>
        <v>0</v>
      </c>
      <c r="P189" s="243">
        <f>SUM(D189:O189)</f>
        <v>0</v>
      </c>
    </row>
    <row r="190" spans="2:19" x14ac:dyDescent="0.2">
      <c r="B190" s="148"/>
      <c r="C190" s="937" t="str">
        <f>C184</f>
        <v>Precio unitario de compras:</v>
      </c>
      <c r="D190" s="743"/>
      <c r="E190" s="743"/>
      <c r="F190" s="743"/>
      <c r="G190" s="743"/>
      <c r="H190" s="743"/>
      <c r="I190" s="743"/>
      <c r="J190" s="743"/>
      <c r="K190" s="743"/>
      <c r="L190" s="743"/>
      <c r="M190" s="743"/>
      <c r="N190" s="743"/>
      <c r="O190" s="743"/>
      <c r="P190" s="942"/>
    </row>
    <row r="191" spans="2:19" ht="13.5" thickBot="1" x14ac:dyDescent="0.25">
      <c r="B191" s="943"/>
      <c r="C191" s="944" t="str">
        <f>C185</f>
        <v>Otros costes directos imputables al producto/servicio</v>
      </c>
      <c r="D191" s="1173"/>
      <c r="E191" s="1173"/>
      <c r="F191" s="1173"/>
      <c r="G191" s="1173"/>
      <c r="H191" s="1173"/>
      <c r="I191" s="1173"/>
      <c r="J191" s="1173"/>
      <c r="K191" s="1173"/>
      <c r="L191" s="1173"/>
      <c r="M191" s="1173"/>
      <c r="N191" s="1173"/>
      <c r="O191" s="1173"/>
      <c r="P191" s="945">
        <f>SUM(D191:O191)</f>
        <v>0</v>
      </c>
    </row>
    <row r="192" spans="2:19" ht="13.5" thickTop="1" x14ac:dyDescent="0.2">
      <c r="B192" s="1107">
        <f>B66</f>
        <v>0</v>
      </c>
      <c r="C192" s="1110"/>
      <c r="D192" s="1174"/>
      <c r="E192" s="1175"/>
      <c r="F192" s="1175"/>
      <c r="G192" s="1175"/>
      <c r="H192" s="1175"/>
      <c r="I192" s="1175"/>
      <c r="J192" s="1175"/>
      <c r="K192" s="1175"/>
      <c r="L192" s="1175"/>
      <c r="M192" s="1175"/>
      <c r="N192" s="1175"/>
      <c r="O192" s="1175"/>
      <c r="P192" s="53"/>
      <c r="S192" s="1064"/>
    </row>
    <row r="193" spans="2:19" x14ac:dyDescent="0.2">
      <c r="B193" s="1109"/>
      <c r="C193" s="937" t="str">
        <f>C187</f>
        <v>Unidades a vender:</v>
      </c>
      <c r="D193" s="208"/>
      <c r="E193" s="208"/>
      <c r="F193" s="208"/>
      <c r="G193" s="208"/>
      <c r="H193" s="208"/>
      <c r="I193" s="208"/>
      <c r="J193" s="208"/>
      <c r="K193" s="208"/>
      <c r="L193" s="208"/>
      <c r="M193" s="208"/>
      <c r="N193" s="208"/>
      <c r="O193" s="208"/>
      <c r="P193" s="243">
        <f>SUM(D193:O193)</f>
        <v>0</v>
      </c>
    </row>
    <row r="194" spans="2:19" x14ac:dyDescent="0.2">
      <c r="B194" s="938"/>
      <c r="C194" s="937" t="str">
        <f>C188</f>
        <v>Precio unitario de venta:</v>
      </c>
      <c r="D194" s="743"/>
      <c r="E194" s="743"/>
      <c r="F194" s="743"/>
      <c r="G194" s="743"/>
      <c r="H194" s="743"/>
      <c r="I194" s="743"/>
      <c r="J194" s="743"/>
      <c r="K194" s="743"/>
      <c r="L194" s="743"/>
      <c r="M194" s="743"/>
      <c r="N194" s="743"/>
      <c r="O194" s="743"/>
      <c r="P194" s="1140"/>
    </row>
    <row r="195" spans="2:19" x14ac:dyDescent="0.2">
      <c r="B195" s="148"/>
      <c r="C195" s="937" t="str">
        <f>C189</f>
        <v>Ingresos previstos por ventas:</v>
      </c>
      <c r="D195" s="940">
        <f t="shared" ref="D195:O195" si="26">D193*D194</f>
        <v>0</v>
      </c>
      <c r="E195" s="940">
        <f t="shared" si="26"/>
        <v>0</v>
      </c>
      <c r="F195" s="940">
        <f t="shared" si="26"/>
        <v>0</v>
      </c>
      <c r="G195" s="940">
        <f t="shared" si="26"/>
        <v>0</v>
      </c>
      <c r="H195" s="940">
        <f t="shared" si="26"/>
        <v>0</v>
      </c>
      <c r="I195" s="940">
        <f t="shared" si="26"/>
        <v>0</v>
      </c>
      <c r="J195" s="940">
        <f t="shared" si="26"/>
        <v>0</v>
      </c>
      <c r="K195" s="940">
        <f t="shared" si="26"/>
        <v>0</v>
      </c>
      <c r="L195" s="940">
        <f t="shared" si="26"/>
        <v>0</v>
      </c>
      <c r="M195" s="940">
        <f t="shared" si="26"/>
        <v>0</v>
      </c>
      <c r="N195" s="940">
        <f t="shared" si="26"/>
        <v>0</v>
      </c>
      <c r="O195" s="940">
        <f t="shared" si="26"/>
        <v>0</v>
      </c>
      <c r="P195" s="243">
        <f>SUM(D195:O195)</f>
        <v>0</v>
      </c>
    </row>
    <row r="196" spans="2:19" x14ac:dyDescent="0.2">
      <c r="B196" s="148"/>
      <c r="C196" s="937" t="str">
        <f>C190</f>
        <v>Precio unitario de compras:</v>
      </c>
      <c r="D196" s="743"/>
      <c r="E196" s="743"/>
      <c r="F196" s="743"/>
      <c r="G196" s="743"/>
      <c r="H196" s="743"/>
      <c r="I196" s="743"/>
      <c r="J196" s="743"/>
      <c r="K196" s="743"/>
      <c r="L196" s="743"/>
      <c r="M196" s="743"/>
      <c r="N196" s="743"/>
      <c r="O196" s="743"/>
      <c r="P196" s="942"/>
    </row>
    <row r="197" spans="2:19" ht="13.5" thickBot="1" x14ac:dyDescent="0.25">
      <c r="B197" s="943"/>
      <c r="C197" s="944" t="str">
        <f>C191</f>
        <v>Otros costes directos imputables al producto/servicio</v>
      </c>
      <c r="D197" s="1173"/>
      <c r="E197" s="1173"/>
      <c r="F197" s="1173"/>
      <c r="G197" s="1173"/>
      <c r="H197" s="1173"/>
      <c r="I197" s="1173"/>
      <c r="J197" s="1173"/>
      <c r="K197" s="1173"/>
      <c r="L197" s="1173"/>
      <c r="M197" s="1173"/>
      <c r="N197" s="1173"/>
      <c r="O197" s="1173"/>
      <c r="P197" s="945">
        <f>SUM(D197:O197)</f>
        <v>0</v>
      </c>
    </row>
    <row r="198" spans="2:19" ht="13.5" thickTop="1" x14ac:dyDescent="0.2">
      <c r="B198" s="1107">
        <f>B72</f>
        <v>0</v>
      </c>
      <c r="C198" s="1110"/>
      <c r="D198" s="1174"/>
      <c r="E198" s="1175"/>
      <c r="F198" s="1175"/>
      <c r="G198" s="1175"/>
      <c r="H198" s="1175"/>
      <c r="I198" s="1175"/>
      <c r="J198" s="1175"/>
      <c r="K198" s="1175"/>
      <c r="L198" s="1175"/>
      <c r="M198" s="1175"/>
      <c r="N198" s="1175"/>
      <c r="O198" s="1175"/>
      <c r="P198" s="53"/>
      <c r="S198" s="1064"/>
    </row>
    <row r="199" spans="2:19" x14ac:dyDescent="0.2">
      <c r="B199" s="1109"/>
      <c r="C199" s="937" t="str">
        <f>C193</f>
        <v>Unidades a vender:</v>
      </c>
      <c r="D199" s="208"/>
      <c r="E199" s="208"/>
      <c r="F199" s="208"/>
      <c r="G199" s="208"/>
      <c r="H199" s="208"/>
      <c r="I199" s="208"/>
      <c r="J199" s="208"/>
      <c r="K199" s="208"/>
      <c r="L199" s="208"/>
      <c r="M199" s="208"/>
      <c r="N199" s="208"/>
      <c r="O199" s="208"/>
      <c r="P199" s="243">
        <f>SUM(D199:O199)</f>
        <v>0</v>
      </c>
    </row>
    <row r="200" spans="2:19" x14ac:dyDescent="0.2">
      <c r="B200" s="938"/>
      <c r="C200" s="937" t="str">
        <f>C194</f>
        <v>Precio unitario de venta:</v>
      </c>
      <c r="D200" s="743"/>
      <c r="E200" s="743"/>
      <c r="F200" s="743"/>
      <c r="G200" s="743"/>
      <c r="H200" s="743"/>
      <c r="I200" s="743"/>
      <c r="J200" s="743"/>
      <c r="K200" s="743"/>
      <c r="L200" s="743"/>
      <c r="M200" s="743"/>
      <c r="N200" s="743"/>
      <c r="O200" s="743"/>
      <c r="P200" s="1140"/>
    </row>
    <row r="201" spans="2:19" x14ac:dyDescent="0.2">
      <c r="B201" s="148"/>
      <c r="C201" s="937" t="str">
        <f>C195</f>
        <v>Ingresos previstos por ventas:</v>
      </c>
      <c r="D201" s="940">
        <f t="shared" ref="D201:O201" si="27">D199*D200</f>
        <v>0</v>
      </c>
      <c r="E201" s="940">
        <f t="shared" si="27"/>
        <v>0</v>
      </c>
      <c r="F201" s="940">
        <f t="shared" si="27"/>
        <v>0</v>
      </c>
      <c r="G201" s="940">
        <f t="shared" si="27"/>
        <v>0</v>
      </c>
      <c r="H201" s="940">
        <f t="shared" si="27"/>
        <v>0</v>
      </c>
      <c r="I201" s="940">
        <f t="shared" si="27"/>
        <v>0</v>
      </c>
      <c r="J201" s="940">
        <f t="shared" si="27"/>
        <v>0</v>
      </c>
      <c r="K201" s="940">
        <f t="shared" si="27"/>
        <v>0</v>
      </c>
      <c r="L201" s="940">
        <f t="shared" si="27"/>
        <v>0</v>
      </c>
      <c r="M201" s="940">
        <f t="shared" si="27"/>
        <v>0</v>
      </c>
      <c r="N201" s="940">
        <f t="shared" si="27"/>
        <v>0</v>
      </c>
      <c r="O201" s="940">
        <f t="shared" si="27"/>
        <v>0</v>
      </c>
      <c r="P201" s="243">
        <f>SUM(D201:O201)</f>
        <v>0</v>
      </c>
    </row>
    <row r="202" spans="2:19" x14ac:dyDescent="0.2">
      <c r="B202" s="148"/>
      <c r="C202" s="937" t="str">
        <f>C196</f>
        <v>Precio unitario de compras:</v>
      </c>
      <c r="D202" s="743"/>
      <c r="E202" s="743"/>
      <c r="F202" s="743"/>
      <c r="G202" s="743"/>
      <c r="H202" s="743"/>
      <c r="I202" s="743"/>
      <c r="J202" s="743"/>
      <c r="K202" s="743"/>
      <c r="L202" s="743"/>
      <c r="M202" s="743"/>
      <c r="N202" s="743"/>
      <c r="O202" s="743"/>
      <c r="P202" s="942"/>
    </row>
    <row r="203" spans="2:19" ht="13.5" thickBot="1" x14ac:dyDescent="0.25">
      <c r="B203" s="943"/>
      <c r="C203" s="944" t="str">
        <f>C197</f>
        <v>Otros costes directos imputables al producto/servicio</v>
      </c>
      <c r="D203" s="1173"/>
      <c r="E203" s="1173"/>
      <c r="F203" s="1173"/>
      <c r="G203" s="1173"/>
      <c r="H203" s="1173"/>
      <c r="I203" s="1173"/>
      <c r="J203" s="1173"/>
      <c r="K203" s="1173"/>
      <c r="L203" s="1173"/>
      <c r="M203" s="1173"/>
      <c r="N203" s="1173"/>
      <c r="O203" s="1173"/>
      <c r="P203" s="945">
        <f>SUM(D203:O203)</f>
        <v>0</v>
      </c>
    </row>
    <row r="204" spans="2:19" ht="13.5" thickTop="1" x14ac:dyDescent="0.2">
      <c r="B204" s="1107">
        <f>B78</f>
        <v>0</v>
      </c>
      <c r="C204" s="1110"/>
      <c r="D204" s="1174"/>
      <c r="E204" s="1175"/>
      <c r="F204" s="1175"/>
      <c r="G204" s="1175"/>
      <c r="H204" s="1175"/>
      <c r="I204" s="1175"/>
      <c r="J204" s="1175"/>
      <c r="K204" s="1175"/>
      <c r="L204" s="1175"/>
      <c r="M204" s="1175"/>
      <c r="N204" s="1175"/>
      <c r="O204" s="1175"/>
      <c r="P204" s="53"/>
      <c r="S204" s="1064"/>
    </row>
    <row r="205" spans="2:19" x14ac:dyDescent="0.2">
      <c r="B205" s="1109"/>
      <c r="C205" s="937" t="str">
        <f>C199</f>
        <v>Unidades a vender:</v>
      </c>
      <c r="D205" s="208"/>
      <c r="E205" s="208"/>
      <c r="F205" s="208"/>
      <c r="G205" s="208"/>
      <c r="H205" s="208"/>
      <c r="I205" s="208"/>
      <c r="J205" s="208"/>
      <c r="K205" s="208"/>
      <c r="L205" s="208"/>
      <c r="M205" s="208"/>
      <c r="N205" s="208"/>
      <c r="O205" s="208"/>
      <c r="P205" s="243">
        <f>SUM(D205:O205)</f>
        <v>0</v>
      </c>
    </row>
    <row r="206" spans="2:19" x14ac:dyDescent="0.2">
      <c r="B206" s="938"/>
      <c r="C206" s="937" t="str">
        <f>C200</f>
        <v>Precio unitario de venta:</v>
      </c>
      <c r="D206" s="743"/>
      <c r="E206" s="743"/>
      <c r="F206" s="743"/>
      <c r="G206" s="743"/>
      <c r="H206" s="743"/>
      <c r="I206" s="743"/>
      <c r="J206" s="743"/>
      <c r="K206" s="743"/>
      <c r="L206" s="743"/>
      <c r="M206" s="743"/>
      <c r="N206" s="743"/>
      <c r="O206" s="743"/>
      <c r="P206" s="1140"/>
    </row>
    <row r="207" spans="2:19" x14ac:dyDescent="0.2">
      <c r="B207" s="148"/>
      <c r="C207" s="937" t="str">
        <f>C201</f>
        <v>Ingresos previstos por ventas:</v>
      </c>
      <c r="D207" s="940">
        <f t="shared" ref="D207:O207" si="28">D205*D206</f>
        <v>0</v>
      </c>
      <c r="E207" s="940">
        <f t="shared" si="28"/>
        <v>0</v>
      </c>
      <c r="F207" s="940">
        <f t="shared" si="28"/>
        <v>0</v>
      </c>
      <c r="G207" s="940">
        <f t="shared" si="28"/>
        <v>0</v>
      </c>
      <c r="H207" s="940">
        <f t="shared" si="28"/>
        <v>0</v>
      </c>
      <c r="I207" s="940">
        <f t="shared" si="28"/>
        <v>0</v>
      </c>
      <c r="J207" s="940">
        <f t="shared" si="28"/>
        <v>0</v>
      </c>
      <c r="K207" s="940">
        <f t="shared" si="28"/>
        <v>0</v>
      </c>
      <c r="L207" s="940">
        <f t="shared" si="28"/>
        <v>0</v>
      </c>
      <c r="M207" s="940">
        <f t="shared" si="28"/>
        <v>0</v>
      </c>
      <c r="N207" s="940">
        <f t="shared" si="28"/>
        <v>0</v>
      </c>
      <c r="O207" s="940">
        <f t="shared" si="28"/>
        <v>0</v>
      </c>
      <c r="P207" s="243">
        <f>SUM(D207:O207)</f>
        <v>0</v>
      </c>
    </row>
    <row r="208" spans="2:19" x14ac:dyDescent="0.2">
      <c r="B208" s="148"/>
      <c r="C208" s="937" t="str">
        <f>C202</f>
        <v>Precio unitario de compras:</v>
      </c>
      <c r="D208" s="743"/>
      <c r="E208" s="743"/>
      <c r="F208" s="743"/>
      <c r="G208" s="743"/>
      <c r="H208" s="743"/>
      <c r="I208" s="743"/>
      <c r="J208" s="743"/>
      <c r="K208" s="743"/>
      <c r="L208" s="743"/>
      <c r="M208" s="743"/>
      <c r="N208" s="743"/>
      <c r="O208" s="743"/>
      <c r="P208" s="942"/>
    </row>
    <row r="209" spans="2:19" ht="13.5" thickBot="1" x14ac:dyDescent="0.25">
      <c r="B209" s="943"/>
      <c r="C209" s="944" t="str">
        <f>C203</f>
        <v>Otros costes directos imputables al producto/servicio</v>
      </c>
      <c r="D209" s="1173"/>
      <c r="E209" s="1173"/>
      <c r="F209" s="1173"/>
      <c r="G209" s="1173"/>
      <c r="H209" s="1173"/>
      <c r="I209" s="1173"/>
      <c r="J209" s="1173"/>
      <c r="K209" s="1173"/>
      <c r="L209" s="1173"/>
      <c r="M209" s="1173"/>
      <c r="N209" s="1173"/>
      <c r="O209" s="1173"/>
      <c r="P209" s="945">
        <f>SUM(D209:O209)</f>
        <v>0</v>
      </c>
    </row>
    <row r="210" spans="2:19" ht="13.5" thickTop="1" x14ac:dyDescent="0.2">
      <c r="B210" s="1107">
        <f>B84</f>
        <v>0</v>
      </c>
      <c r="C210" s="1110"/>
      <c r="D210" s="1174"/>
      <c r="E210" s="1175"/>
      <c r="F210" s="1175"/>
      <c r="G210" s="1175"/>
      <c r="H210" s="1175"/>
      <c r="I210" s="1175"/>
      <c r="J210" s="1175"/>
      <c r="K210" s="1175"/>
      <c r="L210" s="1175"/>
      <c r="M210" s="1175"/>
      <c r="N210" s="1175"/>
      <c r="O210" s="1175"/>
      <c r="P210" s="53"/>
      <c r="S210" s="1064"/>
    </row>
    <row r="211" spans="2:19" x14ac:dyDescent="0.2">
      <c r="B211" s="1109"/>
      <c r="C211" s="937" t="str">
        <f>C205</f>
        <v>Unidades a vender:</v>
      </c>
      <c r="D211" s="208"/>
      <c r="E211" s="208"/>
      <c r="F211" s="208"/>
      <c r="G211" s="208"/>
      <c r="H211" s="208"/>
      <c r="I211" s="208"/>
      <c r="J211" s="208"/>
      <c r="K211" s="208"/>
      <c r="L211" s="208"/>
      <c r="M211" s="208"/>
      <c r="N211" s="208"/>
      <c r="O211" s="208"/>
      <c r="P211" s="243">
        <f>SUM(D211:O211)</f>
        <v>0</v>
      </c>
    </row>
    <row r="212" spans="2:19" x14ac:dyDescent="0.2">
      <c r="B212" s="938"/>
      <c r="C212" s="937" t="str">
        <f>C206</f>
        <v>Precio unitario de venta:</v>
      </c>
      <c r="D212" s="743"/>
      <c r="E212" s="743"/>
      <c r="F212" s="743"/>
      <c r="G212" s="743"/>
      <c r="H212" s="743"/>
      <c r="I212" s="743"/>
      <c r="J212" s="743"/>
      <c r="K212" s="743"/>
      <c r="L212" s="743"/>
      <c r="M212" s="743"/>
      <c r="N212" s="743"/>
      <c r="O212" s="743"/>
      <c r="P212" s="1140"/>
    </row>
    <row r="213" spans="2:19" x14ac:dyDescent="0.2">
      <c r="B213" s="148"/>
      <c r="C213" s="937" t="str">
        <f>C207</f>
        <v>Ingresos previstos por ventas:</v>
      </c>
      <c r="D213" s="940">
        <f t="shared" ref="D213:O213" si="29">D211*D212</f>
        <v>0</v>
      </c>
      <c r="E213" s="940">
        <f t="shared" si="29"/>
        <v>0</v>
      </c>
      <c r="F213" s="940">
        <f t="shared" si="29"/>
        <v>0</v>
      </c>
      <c r="G213" s="940">
        <f t="shared" si="29"/>
        <v>0</v>
      </c>
      <c r="H213" s="940">
        <f t="shared" si="29"/>
        <v>0</v>
      </c>
      <c r="I213" s="940">
        <f t="shared" si="29"/>
        <v>0</v>
      </c>
      <c r="J213" s="940">
        <f t="shared" si="29"/>
        <v>0</v>
      </c>
      <c r="K213" s="940">
        <f t="shared" si="29"/>
        <v>0</v>
      </c>
      <c r="L213" s="940">
        <f t="shared" si="29"/>
        <v>0</v>
      </c>
      <c r="M213" s="940">
        <f t="shared" si="29"/>
        <v>0</v>
      </c>
      <c r="N213" s="940">
        <f t="shared" si="29"/>
        <v>0</v>
      </c>
      <c r="O213" s="940">
        <f t="shared" si="29"/>
        <v>0</v>
      </c>
      <c r="P213" s="243">
        <f>SUM(D213:O213)</f>
        <v>0</v>
      </c>
    </row>
    <row r="214" spans="2:19" x14ac:dyDescent="0.2">
      <c r="B214" s="148"/>
      <c r="C214" s="937" t="str">
        <f>C208</f>
        <v>Precio unitario de compras:</v>
      </c>
      <c r="D214" s="743"/>
      <c r="E214" s="743"/>
      <c r="F214" s="743"/>
      <c r="G214" s="743"/>
      <c r="H214" s="743"/>
      <c r="I214" s="743"/>
      <c r="J214" s="743"/>
      <c r="K214" s="743"/>
      <c r="L214" s="743"/>
      <c r="M214" s="743"/>
      <c r="N214" s="743"/>
      <c r="O214" s="743"/>
      <c r="P214" s="942"/>
    </row>
    <row r="215" spans="2:19" ht="13.5" thickBot="1" x14ac:dyDescent="0.25">
      <c r="B215" s="943"/>
      <c r="C215" s="944" t="str">
        <f>C209</f>
        <v>Otros costes directos imputables al producto/servicio</v>
      </c>
      <c r="D215" s="1173"/>
      <c r="E215" s="1173"/>
      <c r="F215" s="1173"/>
      <c r="G215" s="1173"/>
      <c r="H215" s="1173"/>
      <c r="I215" s="1173"/>
      <c r="J215" s="1173"/>
      <c r="K215" s="1173"/>
      <c r="L215" s="1173"/>
      <c r="M215" s="1173"/>
      <c r="N215" s="1173"/>
      <c r="O215" s="1173"/>
      <c r="P215" s="945">
        <f>SUM(D215:O215)</f>
        <v>0</v>
      </c>
    </row>
    <row r="216" spans="2:19" ht="13.5" thickTop="1" x14ac:dyDescent="0.2">
      <c r="D216" s="1176" t="s">
        <v>135</v>
      </c>
      <c r="E216" s="587"/>
      <c r="F216" s="587"/>
      <c r="G216" s="587"/>
      <c r="H216" s="587"/>
      <c r="I216" s="587"/>
      <c r="J216" s="587"/>
      <c r="K216" s="587"/>
      <c r="L216" s="587"/>
      <c r="M216" s="587"/>
      <c r="N216" s="587"/>
      <c r="O216" s="587"/>
    </row>
    <row r="219" spans="2:19" ht="13.5" thickBot="1" x14ac:dyDescent="0.25">
      <c r="C219" s="7"/>
      <c r="D219" s="627"/>
      <c r="E219" s="688"/>
      <c r="F219" s="688"/>
      <c r="G219" s="9"/>
    </row>
    <row r="220" spans="2:19" ht="12" customHeight="1" x14ac:dyDescent="0.2">
      <c r="C220" s="1335" t="s">
        <v>136</v>
      </c>
      <c r="D220" s="1333" t="s">
        <v>137</v>
      </c>
      <c r="E220" s="1333" t="s">
        <v>138</v>
      </c>
      <c r="F220" s="1337" t="s">
        <v>139</v>
      </c>
      <c r="G220" s="9"/>
      <c r="H220" s="1325" t="s">
        <v>140</v>
      </c>
      <c r="I220" s="1326"/>
      <c r="J220" s="1326"/>
      <c r="K220" s="1326"/>
      <c r="L220" s="1326"/>
      <c r="M220" s="1326"/>
      <c r="N220" s="1326"/>
    </row>
    <row r="221" spans="2:19" x14ac:dyDescent="0.2">
      <c r="C221" s="1336"/>
      <c r="D221" s="1334"/>
      <c r="E221" s="1334"/>
      <c r="F221" s="1338"/>
      <c r="G221" s="9"/>
      <c r="H221" s="1326"/>
      <c r="I221" s="1326"/>
      <c r="J221" s="1326"/>
      <c r="K221" s="1326"/>
      <c r="L221" s="1326"/>
      <c r="M221" s="1326"/>
      <c r="N221" s="1326"/>
    </row>
    <row r="222" spans="2:19" x14ac:dyDescent="0.2">
      <c r="C222" s="1055" t="s">
        <v>141</v>
      </c>
      <c r="D222" s="273">
        <v>0.05</v>
      </c>
      <c r="E222" s="273">
        <v>0.05</v>
      </c>
      <c r="F222" s="1056">
        <v>0.05</v>
      </c>
      <c r="G222" s="9"/>
      <c r="H222" s="1326"/>
      <c r="I222" s="1326"/>
      <c r="J222" s="1326"/>
      <c r="K222" s="1326"/>
      <c r="L222" s="1326"/>
      <c r="M222" s="1326"/>
      <c r="N222" s="1326"/>
    </row>
    <row r="223" spans="2:19" x14ac:dyDescent="0.2">
      <c r="C223" s="1057" t="s">
        <v>142</v>
      </c>
      <c r="D223" s="273">
        <v>0</v>
      </c>
      <c r="E223" s="273">
        <v>0</v>
      </c>
      <c r="F223" s="1056">
        <v>0</v>
      </c>
      <c r="G223" s="9"/>
      <c r="H223" s="1326"/>
      <c r="I223" s="1326"/>
      <c r="J223" s="1326"/>
      <c r="K223" s="1326"/>
      <c r="L223" s="1326"/>
      <c r="M223" s="1326"/>
      <c r="N223" s="1326"/>
    </row>
    <row r="224" spans="2:19" x14ac:dyDescent="0.2">
      <c r="C224" s="1057" t="s">
        <v>143</v>
      </c>
      <c r="D224" s="273">
        <v>0</v>
      </c>
      <c r="E224" s="273">
        <v>0</v>
      </c>
      <c r="F224" s="1056">
        <v>0</v>
      </c>
      <c r="G224" s="9"/>
      <c r="H224" s="1326"/>
      <c r="I224" s="1326"/>
      <c r="J224" s="1326"/>
      <c r="K224" s="1326"/>
      <c r="L224" s="1326"/>
      <c r="M224" s="1326"/>
      <c r="N224" s="1326"/>
    </row>
    <row r="225" spans="3:22" x14ac:dyDescent="0.2">
      <c r="C225" s="1057" t="s">
        <v>144</v>
      </c>
      <c r="D225" s="273">
        <v>0</v>
      </c>
      <c r="E225" s="273">
        <v>0</v>
      </c>
      <c r="F225" s="1056">
        <v>0</v>
      </c>
      <c r="G225" s="9"/>
      <c r="H225" s="1326"/>
      <c r="I225" s="1326"/>
      <c r="J225" s="1326"/>
      <c r="K225" s="1326"/>
      <c r="L225" s="1326"/>
      <c r="M225" s="1326"/>
      <c r="N225" s="1326"/>
    </row>
    <row r="226" spans="3:22" x14ac:dyDescent="0.2">
      <c r="C226" s="1057"/>
      <c r="D226" s="273">
        <v>0</v>
      </c>
      <c r="E226" s="273">
        <v>0</v>
      </c>
      <c r="F226" s="1056">
        <v>0</v>
      </c>
      <c r="G226" s="7"/>
      <c r="H226" s="1326"/>
      <c r="I226" s="1326"/>
      <c r="J226" s="1326"/>
      <c r="K226" s="1326"/>
      <c r="L226" s="1326"/>
      <c r="M226" s="1326"/>
      <c r="N226" s="1326"/>
    </row>
    <row r="227" spans="3:22" ht="13.5" thickBot="1" x14ac:dyDescent="0.25">
      <c r="C227" s="1058"/>
      <c r="D227" s="1059">
        <v>0</v>
      </c>
      <c r="E227" s="1059">
        <v>0</v>
      </c>
      <c r="F227" s="1060">
        <v>0</v>
      </c>
      <c r="G227" s="7"/>
      <c r="H227" s="1326"/>
      <c r="I227" s="1326"/>
      <c r="J227" s="1326"/>
      <c r="K227" s="1326"/>
      <c r="L227" s="1326"/>
      <c r="M227" s="1326"/>
      <c r="N227" s="1326"/>
    </row>
    <row r="228" spans="3:22" x14ac:dyDescent="0.2">
      <c r="C228" s="994"/>
      <c r="D228" s="705"/>
      <c r="E228" s="705"/>
      <c r="F228" s="705"/>
      <c r="G228" s="7"/>
    </row>
    <row r="231" spans="3:22" ht="13.5" thickBot="1" x14ac:dyDescent="0.25"/>
    <row r="232" spans="3:22" ht="39" customHeight="1" x14ac:dyDescent="0.25">
      <c r="C232" s="1330" t="s">
        <v>145</v>
      </c>
      <c r="D232" s="1331"/>
      <c r="E232" s="1331"/>
      <c r="F232" s="1332"/>
      <c r="G232" s="1328" t="s">
        <v>146</v>
      </c>
      <c r="I232" s="1325" t="s">
        <v>147</v>
      </c>
      <c r="J232" s="1326"/>
      <c r="K232" s="1326"/>
      <c r="L232" s="1326"/>
      <c r="M232" s="1326"/>
      <c r="N232" s="1326"/>
      <c r="O232" s="1326"/>
    </row>
    <row r="233" spans="3:22" ht="22.5" x14ac:dyDescent="0.2">
      <c r="C233" s="1014" t="s">
        <v>148</v>
      </c>
      <c r="D233" s="519" t="s">
        <v>149</v>
      </c>
      <c r="E233" s="519" t="s">
        <v>150</v>
      </c>
      <c r="F233" s="1113" t="s">
        <v>151</v>
      </c>
      <c r="G233" s="1329"/>
      <c r="I233" s="1326"/>
      <c r="J233" s="1326"/>
      <c r="K233" s="1326"/>
      <c r="L233" s="1326"/>
      <c r="M233" s="1326"/>
      <c r="N233" s="1326"/>
      <c r="O233" s="1326"/>
      <c r="R233" s="1053" t="s">
        <v>152</v>
      </c>
      <c r="S233" s="1053" t="s">
        <v>113</v>
      </c>
      <c r="T233" s="1053" t="s">
        <v>153</v>
      </c>
      <c r="U233" s="1053" t="s">
        <v>154</v>
      </c>
      <c r="V233" s="1053" t="s">
        <v>155</v>
      </c>
    </row>
    <row r="234" spans="3:22" x14ac:dyDescent="0.2">
      <c r="C234" s="1012" t="str">
        <f>B30</f>
        <v>Producto o servicio 1</v>
      </c>
      <c r="D234" s="208"/>
      <c r="E234" s="743"/>
      <c r="F234" s="1261">
        <f>D234*E234</f>
        <v>0</v>
      </c>
      <c r="G234" s="1112">
        <f>'Datos generales'!$D$10</f>
        <v>43831</v>
      </c>
      <c r="I234" s="1326"/>
      <c r="J234" s="1326"/>
      <c r="K234" s="1326"/>
      <c r="L234" s="1326"/>
      <c r="M234" s="1326"/>
      <c r="N234" s="1326"/>
      <c r="O234" s="1326"/>
      <c r="R234" s="1262">
        <f t="shared" ref="R234:R243" si="30">DATE(YEAR(G234),MONTH(G234),DAY(G234))</f>
        <v>43831</v>
      </c>
      <c r="S234" s="616">
        <f t="shared" ref="S234:S243" si="31">YEAR(R234)</f>
        <v>2020</v>
      </c>
      <c r="T234" s="616">
        <f>IF('Datos generales'!$D$10=G234,0,IF('Datos generales'!$P$10=S234,MONTH(R234),0))</f>
        <v>0</v>
      </c>
      <c r="U234" s="616">
        <f>IF('Datos generales'!$D$10=G234,0,IF('Datos generales'!$P$10+1=S234,MONTH(R234),0))</f>
        <v>0</v>
      </c>
      <c r="V234" s="616">
        <f>IF('Datos generales'!$D$10=G234,0,IF('Datos generales'!$P$10+2=S234,MONTH(R234),0))</f>
        <v>0</v>
      </c>
    </row>
    <row r="235" spans="3:22" x14ac:dyDescent="0.2">
      <c r="C235" s="1012" t="str">
        <f>B36</f>
        <v>Producto o servicio 2</v>
      </c>
      <c r="D235" s="208"/>
      <c r="E235" s="743"/>
      <c r="F235" s="1261">
        <f t="shared" ref="F235:F243" si="32">D235*E235</f>
        <v>0</v>
      </c>
      <c r="G235" s="1112">
        <f>'Datos generales'!$D$10</f>
        <v>43831</v>
      </c>
      <c r="I235" s="1326"/>
      <c r="J235" s="1326"/>
      <c r="K235" s="1326"/>
      <c r="L235" s="1326"/>
      <c r="M235" s="1326"/>
      <c r="N235" s="1326"/>
      <c r="O235" s="1326"/>
      <c r="R235" s="1262">
        <f t="shared" si="30"/>
        <v>43831</v>
      </c>
      <c r="S235" s="616">
        <f t="shared" si="31"/>
        <v>2020</v>
      </c>
      <c r="T235" s="616">
        <f>IF('Datos generales'!$D$10=G235,0,IF('Datos generales'!$P$10=S235,MONTH(R235),0))</f>
        <v>0</v>
      </c>
      <c r="U235" s="616">
        <f>IF('Datos generales'!$D$10=G235,0,IF('Datos generales'!$P$10+1=S235,MONTH(R235),0))</f>
        <v>0</v>
      </c>
      <c r="V235" s="616">
        <f>IF('Datos generales'!$D$10=G235,0,IF('Datos generales'!$P$10+2=S235,MONTH(R235),0))</f>
        <v>0</v>
      </c>
    </row>
    <row r="236" spans="3:22" x14ac:dyDescent="0.2">
      <c r="C236" s="1012" t="str">
        <f>B42</f>
        <v>Producto o servicio 3</v>
      </c>
      <c r="D236" s="208"/>
      <c r="E236" s="743"/>
      <c r="F236" s="1261">
        <f t="shared" si="32"/>
        <v>0</v>
      </c>
      <c r="G236" s="1112">
        <f>'Datos generales'!$D$10</f>
        <v>43831</v>
      </c>
      <c r="I236" s="1326"/>
      <c r="J236" s="1326"/>
      <c r="K236" s="1326"/>
      <c r="L236" s="1326"/>
      <c r="M236" s="1326"/>
      <c r="N236" s="1326"/>
      <c r="O236" s="1326"/>
      <c r="R236" s="1262">
        <f t="shared" si="30"/>
        <v>43831</v>
      </c>
      <c r="S236" s="616">
        <f t="shared" si="31"/>
        <v>2020</v>
      </c>
      <c r="T236" s="616">
        <f>IF('Datos generales'!$D$10=G236,0,IF('Datos generales'!$P$10=S236,MONTH(R236),0))</f>
        <v>0</v>
      </c>
      <c r="U236" s="616">
        <f>IF('Datos generales'!$D$10=G236,0,IF('Datos generales'!$P$10+1=S236,MONTH(R236),0))</f>
        <v>0</v>
      </c>
      <c r="V236" s="616">
        <f>IF('Datos generales'!$D$10=G236,0,IF('Datos generales'!$P$10+2=S236,MONTH(R236),0))</f>
        <v>0</v>
      </c>
    </row>
    <row r="237" spans="3:22" x14ac:dyDescent="0.2">
      <c r="C237" s="1012">
        <f>B48</f>
        <v>0</v>
      </c>
      <c r="D237" s="208"/>
      <c r="E237" s="743"/>
      <c r="F237" s="1261">
        <f t="shared" si="32"/>
        <v>0</v>
      </c>
      <c r="G237" s="1112">
        <f>'Datos generales'!$D$10</f>
        <v>43831</v>
      </c>
      <c r="I237" s="1326"/>
      <c r="J237" s="1326"/>
      <c r="K237" s="1326"/>
      <c r="L237" s="1326"/>
      <c r="M237" s="1326"/>
      <c r="N237" s="1326"/>
      <c r="O237" s="1326"/>
      <c r="R237" s="1262">
        <f t="shared" si="30"/>
        <v>43831</v>
      </c>
      <c r="S237" s="616">
        <f t="shared" si="31"/>
        <v>2020</v>
      </c>
      <c r="T237" s="616">
        <f>IF('Datos generales'!$D$10=G237,0,IF('Datos generales'!$P$10=S237,MONTH(R237),0))</f>
        <v>0</v>
      </c>
      <c r="U237" s="616">
        <f>IF('Datos generales'!$D$10=G237,0,IF('Datos generales'!$P$10+1=S237,MONTH(R237),0))</f>
        <v>0</v>
      </c>
      <c r="V237" s="616">
        <f>IF('Datos generales'!$D$10=G237,0,IF('Datos generales'!$P$10+2=S237,MONTH(R237),0))</f>
        <v>0</v>
      </c>
    </row>
    <row r="238" spans="3:22" x14ac:dyDescent="0.2">
      <c r="C238" s="1012">
        <f>B54</f>
        <v>0</v>
      </c>
      <c r="D238" s="208"/>
      <c r="E238" s="743"/>
      <c r="F238" s="1261">
        <f t="shared" si="32"/>
        <v>0</v>
      </c>
      <c r="G238" s="1112">
        <f>'Datos generales'!$D$10</f>
        <v>43831</v>
      </c>
      <c r="I238" s="1326"/>
      <c r="J238" s="1326"/>
      <c r="K238" s="1326"/>
      <c r="L238" s="1326"/>
      <c r="M238" s="1326"/>
      <c r="N238" s="1326"/>
      <c r="O238" s="1326"/>
      <c r="R238" s="1262">
        <f t="shared" si="30"/>
        <v>43831</v>
      </c>
      <c r="S238" s="616">
        <f t="shared" si="31"/>
        <v>2020</v>
      </c>
      <c r="T238" s="616">
        <f>IF('Datos generales'!$D$10=G238,0,IF('Datos generales'!$P$10=S238,MONTH(R238),0))</f>
        <v>0</v>
      </c>
      <c r="U238" s="616">
        <f>IF('Datos generales'!$D$10=G238,0,IF('Datos generales'!$P$10+1=S238,MONTH(R238),0))</f>
        <v>0</v>
      </c>
      <c r="V238" s="616">
        <f>IF('Datos generales'!$D$10=G238,0,IF('Datos generales'!$P$10+2=S238,MONTH(R238),0))</f>
        <v>0</v>
      </c>
    </row>
    <row r="239" spans="3:22" x14ac:dyDescent="0.2">
      <c r="C239" s="1012">
        <f>B60</f>
        <v>0</v>
      </c>
      <c r="D239" s="208"/>
      <c r="E239" s="743"/>
      <c r="F239" s="1261">
        <f>D239*E239</f>
        <v>0</v>
      </c>
      <c r="G239" s="1112">
        <f>'Datos generales'!$D$10</f>
        <v>43831</v>
      </c>
      <c r="I239" s="1326"/>
      <c r="J239" s="1326"/>
      <c r="K239" s="1326"/>
      <c r="L239" s="1326"/>
      <c r="M239" s="1326"/>
      <c r="N239" s="1326"/>
      <c r="O239" s="1326"/>
      <c r="R239" s="1262">
        <f t="shared" si="30"/>
        <v>43831</v>
      </c>
      <c r="S239" s="616">
        <f t="shared" si="31"/>
        <v>2020</v>
      </c>
      <c r="T239" s="616">
        <f>IF('Datos generales'!$D$10=G239,0,IF('Datos generales'!$P$10=S239,MONTH(R239),0))</f>
        <v>0</v>
      </c>
      <c r="U239" s="616">
        <f>IF('Datos generales'!$D$10=G239,0,IF('Datos generales'!$P$10+1=S239,MONTH(R239),0))</f>
        <v>0</v>
      </c>
      <c r="V239" s="616">
        <f>IF('Datos generales'!$D$10=G239,0,IF('Datos generales'!$P$10+2=S239,MONTH(R239),0))</f>
        <v>0</v>
      </c>
    </row>
    <row r="240" spans="3:22" x14ac:dyDescent="0.2">
      <c r="C240" s="1012">
        <f>B66</f>
        <v>0</v>
      </c>
      <c r="D240" s="208"/>
      <c r="E240" s="743"/>
      <c r="F240" s="1261">
        <f t="shared" si="32"/>
        <v>0</v>
      </c>
      <c r="G240" s="1112">
        <f>'Datos generales'!$D$10</f>
        <v>43831</v>
      </c>
      <c r="I240" s="1326"/>
      <c r="J240" s="1326"/>
      <c r="K240" s="1326"/>
      <c r="L240" s="1326"/>
      <c r="M240" s="1326"/>
      <c r="N240" s="1326"/>
      <c r="O240" s="1326"/>
      <c r="R240" s="1262">
        <f t="shared" si="30"/>
        <v>43831</v>
      </c>
      <c r="S240" s="616">
        <f t="shared" si="31"/>
        <v>2020</v>
      </c>
      <c r="T240" s="616">
        <f>IF('Datos generales'!$D$10=G240,0,IF('Datos generales'!$P$10=S240,MONTH(R240),0))</f>
        <v>0</v>
      </c>
      <c r="U240" s="616">
        <f>IF('Datos generales'!$D$10=G240,0,IF('Datos generales'!$P$10+1=S240,MONTH(R240),0))</f>
        <v>0</v>
      </c>
      <c r="V240" s="616">
        <f>IF('Datos generales'!$D$10=G240,0,IF('Datos generales'!$P$10+2=S240,MONTH(R240),0))</f>
        <v>0</v>
      </c>
    </row>
    <row r="241" spans="2:22" x14ac:dyDescent="0.2">
      <c r="C241" s="1012">
        <f>B72</f>
        <v>0</v>
      </c>
      <c r="D241" s="208"/>
      <c r="E241" s="743"/>
      <c r="F241" s="1261">
        <f t="shared" si="32"/>
        <v>0</v>
      </c>
      <c r="G241" s="1112">
        <f>'Datos generales'!$D$10</f>
        <v>43831</v>
      </c>
      <c r="I241" s="1326"/>
      <c r="J241" s="1326"/>
      <c r="K241" s="1326"/>
      <c r="L241" s="1326"/>
      <c r="M241" s="1326"/>
      <c r="N241" s="1326"/>
      <c r="O241" s="1326"/>
      <c r="R241" s="1262">
        <f t="shared" si="30"/>
        <v>43831</v>
      </c>
      <c r="S241" s="616">
        <f t="shared" si="31"/>
        <v>2020</v>
      </c>
      <c r="T241" s="616">
        <f>IF('Datos generales'!$D$10=G241,0,IF('Datos generales'!$P$10=S241,MONTH(R241),0))</f>
        <v>0</v>
      </c>
      <c r="U241" s="616">
        <f>IF('Datos generales'!$D$10=G241,0,IF('Datos generales'!$P$10+1=S241,MONTH(R241),0))</f>
        <v>0</v>
      </c>
      <c r="V241" s="616">
        <f>IF('Datos generales'!$D$10=G241,0,IF('Datos generales'!$P$10+2=S241,MONTH(R241),0))</f>
        <v>0</v>
      </c>
    </row>
    <row r="242" spans="2:22" x14ac:dyDescent="0.2">
      <c r="C242" s="1012">
        <f>B78</f>
        <v>0</v>
      </c>
      <c r="D242" s="208"/>
      <c r="E242" s="743"/>
      <c r="F242" s="1261">
        <f t="shared" si="32"/>
        <v>0</v>
      </c>
      <c r="G242" s="1112">
        <f>'Datos generales'!$D$10</f>
        <v>43831</v>
      </c>
      <c r="I242" s="1326"/>
      <c r="J242" s="1326"/>
      <c r="K242" s="1326"/>
      <c r="L242" s="1326"/>
      <c r="M242" s="1326"/>
      <c r="N242" s="1326"/>
      <c r="O242" s="1326"/>
      <c r="R242" s="1262">
        <f t="shared" si="30"/>
        <v>43831</v>
      </c>
      <c r="S242" s="616">
        <f t="shared" si="31"/>
        <v>2020</v>
      </c>
      <c r="T242" s="616">
        <f>IF('Datos generales'!$D$10=G242,0,IF('Datos generales'!$P$10=S242,MONTH(R242),0))</f>
        <v>0</v>
      </c>
      <c r="U242" s="616">
        <f>IF('Datos generales'!$D$10=G242,0,IF('Datos generales'!$P$10+1=S242,MONTH(R242),0))</f>
        <v>0</v>
      </c>
      <c r="V242" s="616">
        <f>IF('Datos generales'!$D$10=G242,0,IF('Datos generales'!$P$10+2=S242,MONTH(R242),0))</f>
        <v>0</v>
      </c>
    </row>
    <row r="243" spans="2:22" ht="13.5" thickBot="1" x14ac:dyDescent="0.25">
      <c r="C243" s="1013">
        <f>B84</f>
        <v>0</v>
      </c>
      <c r="D243" s="208"/>
      <c r="E243" s="743"/>
      <c r="F243" s="1263">
        <f t="shared" si="32"/>
        <v>0</v>
      </c>
      <c r="G243" s="1112">
        <f>'Datos generales'!$D$10</f>
        <v>43831</v>
      </c>
      <c r="I243" s="1326"/>
      <c r="J243" s="1326"/>
      <c r="K243" s="1326"/>
      <c r="L243" s="1326"/>
      <c r="M243" s="1326"/>
      <c r="N243" s="1326"/>
      <c r="O243" s="1326"/>
      <c r="R243" s="1262">
        <f t="shared" si="30"/>
        <v>43831</v>
      </c>
      <c r="S243" s="616">
        <f t="shared" si="31"/>
        <v>2020</v>
      </c>
      <c r="T243" s="616">
        <f>IF('Datos generales'!$D$10=G243,0,IF('Datos generales'!$P$10=S243,MONTH(R243),0))</f>
        <v>0</v>
      </c>
      <c r="U243" s="616">
        <f>IF('Datos generales'!$D$10=G243,0,IF('Datos generales'!$P$10+1=S243,MONTH(R243),0))</f>
        <v>0</v>
      </c>
      <c r="V243" s="616">
        <f>IF('Datos generales'!$D$10=G243,0,IF('Datos generales'!$P$10+2=S243,MONTH(R243),0))</f>
        <v>0</v>
      </c>
    </row>
    <row r="244" spans="2:22" x14ac:dyDescent="0.2">
      <c r="I244" s="1326"/>
      <c r="J244" s="1326"/>
      <c r="K244" s="1326"/>
      <c r="L244" s="1326"/>
      <c r="M244" s="1326"/>
      <c r="N244" s="1326"/>
      <c r="O244" s="1326"/>
    </row>
    <row r="246" spans="2:22" ht="12" customHeight="1" x14ac:dyDescent="0.2">
      <c r="D246" s="506"/>
    </row>
    <row r="247" spans="2:22" x14ac:dyDescent="0.2">
      <c r="B247" s="7"/>
      <c r="D247"/>
    </row>
    <row r="248" spans="2:22" x14ac:dyDescent="0.2">
      <c r="B248" s="7"/>
      <c r="C248" s="994"/>
      <c r="D248" s="705"/>
      <c r="E248" s="705"/>
      <c r="F248" s="705"/>
      <c r="G248" s="7"/>
    </row>
    <row r="249" spans="2:22" x14ac:dyDescent="0.2">
      <c r="B249" s="7"/>
      <c r="C249" s="7"/>
      <c r="D249" s="9"/>
      <c r="E249" s="511"/>
      <c r="F249" s="511"/>
      <c r="G249" s="7"/>
    </row>
    <row r="250" spans="2:22" ht="15.75" x14ac:dyDescent="0.25">
      <c r="B250" s="7"/>
      <c r="C250" s="138" t="s">
        <v>156</v>
      </c>
      <c r="D250" s="9"/>
      <c r="E250" s="9"/>
      <c r="F250" s="7"/>
      <c r="G250" s="7"/>
    </row>
    <row r="251" spans="2:22" x14ac:dyDescent="0.2">
      <c r="B251" s="7"/>
      <c r="C251" s="7"/>
      <c r="D251" s="9"/>
      <c r="E251" s="9"/>
      <c r="F251" s="7"/>
      <c r="G251" s="7"/>
    </row>
    <row r="252" spans="2:22" x14ac:dyDescent="0.2">
      <c r="B252" s="7"/>
      <c r="C252" s="689" t="s">
        <v>157</v>
      </c>
      <c r="D252" s="697"/>
      <c r="E252" s="690" t="s">
        <v>158</v>
      </c>
      <c r="F252" s="7"/>
      <c r="G252" s="1325" t="s">
        <v>159</v>
      </c>
      <c r="H252" s="1326"/>
      <c r="I252" s="1326"/>
      <c r="J252" s="1326"/>
      <c r="K252" s="1326"/>
    </row>
    <row r="253" spans="2:22" x14ac:dyDescent="0.2">
      <c r="B253" s="7"/>
      <c r="C253" t="s">
        <v>160</v>
      </c>
      <c r="D253" s="9"/>
      <c r="E253" s="273">
        <v>0.25</v>
      </c>
      <c r="F253" s="7"/>
      <c r="G253" s="1326"/>
      <c r="H253" s="1326"/>
      <c r="I253" s="1326"/>
      <c r="J253" s="1326"/>
      <c r="K253" s="1326"/>
    </row>
    <row r="254" spans="2:22" x14ac:dyDescent="0.2">
      <c r="B254" s="7"/>
      <c r="C254" s="691" t="s">
        <v>161</v>
      </c>
      <c r="D254" s="698" t="s">
        <v>162</v>
      </c>
      <c r="E254" s="692"/>
      <c r="F254" s="7"/>
      <c r="G254" s="1326"/>
      <c r="H254" s="1326"/>
      <c r="I254" s="1326"/>
      <c r="J254" s="1326"/>
      <c r="K254" s="1326"/>
    </row>
    <row r="255" spans="2:22" x14ac:dyDescent="0.2">
      <c r="B255" s="7"/>
      <c r="D255" s="611">
        <v>1</v>
      </c>
      <c r="E255" s="273">
        <v>0.25</v>
      </c>
      <c r="F255" s="7"/>
      <c r="G255" s="1326"/>
      <c r="H255" s="1326"/>
      <c r="I255" s="1326"/>
      <c r="J255" s="1326"/>
      <c r="K255" s="1326"/>
    </row>
    <row r="256" spans="2:22" x14ac:dyDescent="0.2">
      <c r="B256" s="7"/>
      <c r="D256" s="208">
        <v>2</v>
      </c>
      <c r="E256" s="273">
        <v>0.25</v>
      </c>
      <c r="F256" s="7"/>
      <c r="G256" s="1326"/>
      <c r="H256" s="1326"/>
      <c r="I256" s="1326"/>
      <c r="J256" s="1326"/>
      <c r="K256" s="1326"/>
    </row>
    <row r="257" spans="2:11" x14ac:dyDescent="0.2">
      <c r="B257" s="7"/>
      <c r="D257" s="208">
        <v>3</v>
      </c>
      <c r="E257" s="273">
        <v>0.25</v>
      </c>
      <c r="F257" s="7"/>
      <c r="G257" s="1326"/>
      <c r="H257" s="1326"/>
      <c r="I257" s="1326"/>
      <c r="J257" s="1326"/>
      <c r="K257" s="1326"/>
    </row>
    <row r="258" spans="2:11" x14ac:dyDescent="0.2">
      <c r="B258" s="7"/>
      <c r="D258" s="208"/>
      <c r="E258" s="273"/>
      <c r="F258" s="7"/>
      <c r="G258" s="1326"/>
      <c r="H258" s="1326"/>
      <c r="I258" s="1326"/>
      <c r="J258" s="1326"/>
      <c r="K258" s="1326"/>
    </row>
    <row r="259" spans="2:11" x14ac:dyDescent="0.2">
      <c r="B259" s="7"/>
      <c r="D259" s="208"/>
      <c r="E259" s="273"/>
      <c r="F259" s="7"/>
      <c r="G259" s="1326"/>
      <c r="H259" s="1326"/>
      <c r="I259" s="1326"/>
      <c r="J259" s="1326"/>
      <c r="K259" s="1326"/>
    </row>
    <row r="260" spans="2:11" x14ac:dyDescent="0.2">
      <c r="B260" s="7"/>
      <c r="D260" s="208"/>
      <c r="E260" s="273"/>
      <c r="F260" s="7"/>
      <c r="G260" s="1326"/>
      <c r="H260" s="1326"/>
      <c r="I260" s="1326"/>
      <c r="J260" s="1326"/>
      <c r="K260" s="1326"/>
    </row>
    <row r="261" spans="2:11" x14ac:dyDescent="0.2">
      <c r="B261" s="7"/>
      <c r="D261" s="208"/>
      <c r="E261" s="273"/>
      <c r="F261" s="7"/>
      <c r="G261" s="1326"/>
      <c r="H261" s="1326"/>
      <c r="I261" s="1326"/>
      <c r="J261" s="1326"/>
      <c r="K261" s="1326"/>
    </row>
    <row r="262" spans="2:11" ht="18" customHeight="1" x14ac:dyDescent="0.25">
      <c r="B262" s="7"/>
      <c r="C262" s="7"/>
      <c r="E262" s="1067">
        <f>SUM(E253:E261)</f>
        <v>1</v>
      </c>
      <c r="F262" s="283" t="str">
        <f>IF(E262=100%,"","&lt;EL TOTAL DEBE SER 100%")</f>
        <v/>
      </c>
      <c r="G262" s="7"/>
    </row>
    <row r="263" spans="2:11" x14ac:dyDescent="0.2">
      <c r="B263" s="7"/>
      <c r="C263" s="7"/>
      <c r="E263" s="693"/>
      <c r="F263" s="7"/>
      <c r="G263" s="7"/>
    </row>
    <row r="264" spans="2:11" x14ac:dyDescent="0.2">
      <c r="B264" s="7"/>
      <c r="C264" s="689" t="s">
        <v>163</v>
      </c>
      <c r="D264" s="699"/>
      <c r="E264" s="694" t="s">
        <v>158</v>
      </c>
      <c r="F264" s="7"/>
      <c r="G264" s="7"/>
    </row>
    <row r="265" spans="2:11" x14ac:dyDescent="0.2">
      <c r="B265" s="7"/>
      <c r="C265" t="s">
        <v>164</v>
      </c>
      <c r="D265" s="9"/>
      <c r="E265" s="273">
        <v>0.25</v>
      </c>
      <c r="F265" s="7"/>
      <c r="G265" s="7"/>
    </row>
    <row r="266" spans="2:11" x14ac:dyDescent="0.2">
      <c r="B266" s="7"/>
      <c r="C266" s="691" t="s">
        <v>165</v>
      </c>
      <c r="D266" s="698" t="s">
        <v>162</v>
      </c>
      <c r="E266" s="695"/>
      <c r="F266" s="7"/>
      <c r="G266" s="1327" t="s">
        <v>166</v>
      </c>
      <c r="H266" s="1327"/>
      <c r="I266" s="1327"/>
      <c r="J266" s="1327"/>
      <c r="K266" s="1327"/>
    </row>
    <row r="267" spans="2:11" x14ac:dyDescent="0.2">
      <c r="B267" s="7"/>
      <c r="D267" s="611">
        <v>1</v>
      </c>
      <c r="E267" s="273">
        <v>0.25</v>
      </c>
      <c r="F267" s="7"/>
      <c r="G267" s="1327"/>
      <c r="H267" s="1327"/>
      <c r="I267" s="1327"/>
      <c r="J267" s="1327"/>
      <c r="K267" s="1327"/>
    </row>
    <row r="268" spans="2:11" x14ac:dyDescent="0.2">
      <c r="B268" s="7"/>
      <c r="D268" s="208">
        <v>2</v>
      </c>
      <c r="E268" s="273">
        <v>0.25</v>
      </c>
      <c r="F268" s="7"/>
      <c r="G268" s="1327"/>
      <c r="H268" s="1327"/>
      <c r="I268" s="1327"/>
      <c r="J268" s="1327"/>
      <c r="K268" s="1327"/>
    </row>
    <row r="269" spans="2:11" x14ac:dyDescent="0.2">
      <c r="B269" s="7"/>
      <c r="D269" s="208">
        <v>3</v>
      </c>
      <c r="E269" s="273">
        <v>0.25</v>
      </c>
      <c r="F269" s="7"/>
      <c r="G269" s="1327"/>
      <c r="H269" s="1327"/>
      <c r="I269" s="1327"/>
      <c r="J269" s="1327"/>
      <c r="K269" s="1327"/>
    </row>
    <row r="270" spans="2:11" x14ac:dyDescent="0.2">
      <c r="B270" s="7"/>
      <c r="D270" s="208"/>
      <c r="E270" s="273"/>
      <c r="F270" s="7"/>
      <c r="G270" s="1327"/>
      <c r="H270" s="1327"/>
      <c r="I270" s="1327"/>
      <c r="J270" s="1327"/>
      <c r="K270" s="1327"/>
    </row>
    <row r="271" spans="2:11" x14ac:dyDescent="0.2">
      <c r="B271" s="7"/>
      <c r="D271" s="208"/>
      <c r="E271" s="273"/>
      <c r="F271" s="7"/>
      <c r="G271" s="1327"/>
      <c r="H271" s="1327"/>
      <c r="I271" s="1327"/>
      <c r="J271" s="1327"/>
      <c r="K271" s="1327"/>
    </row>
    <row r="272" spans="2:11" x14ac:dyDescent="0.2">
      <c r="B272" s="7"/>
      <c r="D272" s="208"/>
      <c r="E272" s="273"/>
      <c r="F272" s="7"/>
      <c r="G272" s="7"/>
    </row>
    <row r="273" spans="2:7" x14ac:dyDescent="0.2">
      <c r="B273" s="7"/>
      <c r="D273" s="208"/>
      <c r="E273" s="273"/>
      <c r="F273" s="7"/>
      <c r="G273" s="7"/>
    </row>
    <row r="274" spans="2:7" ht="19.5" customHeight="1" x14ac:dyDescent="0.25">
      <c r="B274" s="7"/>
      <c r="C274" s="7"/>
      <c r="E274" s="1067">
        <f>SUM(E265:E273)</f>
        <v>1</v>
      </c>
      <c r="F274" s="283" t="str">
        <f>IF(E274=100%,"","&lt;EL TOTAL DEBE SER 100%")</f>
        <v/>
      </c>
      <c r="G274" s="7"/>
    </row>
    <row r="281" spans="2:7" customFormat="1" ht="12.75" customHeight="1" x14ac:dyDescent="0.2">
      <c r="D281" s="58"/>
    </row>
    <row r="282" spans="2:7" customFormat="1" x14ac:dyDescent="0.2">
      <c r="D282" s="58"/>
    </row>
    <row r="283" spans="2:7" customFormat="1" x14ac:dyDescent="0.2">
      <c r="D283" s="58"/>
    </row>
    <row r="284" spans="2:7" customFormat="1" x14ac:dyDescent="0.2">
      <c r="D284" s="58"/>
    </row>
    <row r="285" spans="2:7" customFormat="1" x14ac:dyDescent="0.2">
      <c r="D285" s="58"/>
    </row>
    <row r="286" spans="2:7" customFormat="1" x14ac:dyDescent="0.2">
      <c r="D286" s="58"/>
    </row>
    <row r="287" spans="2:7" customFormat="1" ht="12.75" customHeight="1" x14ac:dyDescent="0.2">
      <c r="D287" s="58"/>
    </row>
    <row r="288" spans="2:7" customFormat="1" x14ac:dyDescent="0.2">
      <c r="D288" s="58"/>
    </row>
    <row r="289" spans="3:4" x14ac:dyDescent="0.2">
      <c r="C289" s="58"/>
      <c r="D289"/>
    </row>
    <row r="290" spans="3:4" x14ac:dyDescent="0.2">
      <c r="C290" s="58"/>
      <c r="D290"/>
    </row>
    <row r="291" spans="3:4" x14ac:dyDescent="0.2">
      <c r="C291" s="58"/>
      <c r="D291"/>
    </row>
    <row r="292" spans="3:4" x14ac:dyDescent="0.2">
      <c r="C292" s="58"/>
      <c r="D292"/>
    </row>
  </sheetData>
  <sheetProtection password="CC4B" sheet="1" objects="1" scenarios="1"/>
  <mergeCells count="11">
    <mergeCell ref="C7:P21"/>
    <mergeCell ref="H220:N227"/>
    <mergeCell ref="I232:O244"/>
    <mergeCell ref="G252:K261"/>
    <mergeCell ref="G266:K271"/>
    <mergeCell ref="G232:G233"/>
    <mergeCell ref="C232:F232"/>
    <mergeCell ref="D220:D221"/>
    <mergeCell ref="C220:C221"/>
    <mergeCell ref="E220:E221"/>
    <mergeCell ref="F220:F221"/>
  </mergeCells>
  <phoneticPr fontId="0" type="noConversion"/>
  <dataValidations count="7">
    <dataValidation type="custom" allowBlank="1" showInputMessage="1" showErrorMessage="1" error="No puede incluir datos en una fecha anterior a  la de inicio de actividad." sqref="D88:O89 D31:O32 D85:O86 D82:O83 D79:O80 D76:O77 D73:O74 D70:O71 D67:O68 D64:O65 D61:O62 D58:O59 D55:O56 D52:O53 D49:O50 D46:O47 D43:O44 D40:O41 D37:O38 D34:O35" xr:uid="{00000000-0002-0000-0300-000000000000}">
      <formula1>D$1&gt;=$C$1</formula1>
    </dataValidation>
    <dataValidation type="whole" allowBlank="1" showInputMessage="1" showErrorMessage="1" error="Debe indicar el número de meses que concede de aplazamiento." sqref="D255:D261" xr:uid="{00000000-0002-0000-0300-000001000000}">
      <formula1>1</formula1>
      <formula2>99</formula2>
    </dataValidation>
    <dataValidation type="decimal" allowBlank="1" showInputMessage="1" showErrorMessage="1" error="Debe indicar un porcentaje." sqref="E253 E255:E261 E265 E267:E273" xr:uid="{00000000-0002-0000-0300-000002000000}">
      <formula1>0</formula1>
      <formula2>100</formula2>
    </dataValidation>
    <dataValidation type="whole" allowBlank="1" showInputMessage="1" showErrorMessage="1" error="Debe indicar el número de meses que le conceden de aplazamiento para pagos." sqref="D267:D273" xr:uid="{00000000-0002-0000-0300-000003000000}">
      <formula1>1</formula1>
      <formula2>99</formula2>
    </dataValidation>
    <dataValidation type="decimal" allowBlank="1" showInputMessage="1" showErrorMessage="1" error="Debe indicar un porcentaje" sqref="D248:F248 D222:F228" xr:uid="{00000000-0002-0000-0300-000004000000}">
      <formula1>0</formula1>
      <formula2>100</formula2>
    </dataValidation>
    <dataValidation type="decimal" allowBlank="1" showInputMessage="1" showErrorMessage="1" error="El dato debe ser numérico" sqref="D94:O215" xr:uid="{00000000-0002-0000-0300-000005000000}">
      <formula1>0</formula1>
      <formula2>999999999999</formula2>
    </dataValidation>
    <dataValidation type="date" operator="greaterThanOrEqual" allowBlank="1" showInputMessage="1" showErrorMessage="1" error="No puede indicar una fecha anterior a la de inicio de actividad" sqref="G234:G243" xr:uid="{00000000-0002-0000-0300-000006000000}">
      <formula1>$F$6</formula1>
    </dataValidation>
  </dataValidations>
  <pageMargins left="0.75" right="0.75" top="1" bottom="1" header="0" footer="0"/>
  <pageSetup paperSize="9" orientation="portrait" horizontalDpi="200" verticalDpi="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FFFF99"/>
  </sheetPr>
  <dimension ref="A1:S147"/>
  <sheetViews>
    <sheetView showGridLines="0" topLeftCell="A2" workbookViewId="0">
      <selection activeCell="J23" sqref="J23"/>
    </sheetView>
  </sheetViews>
  <sheetFormatPr baseColWidth="10" defaultColWidth="11.42578125" defaultRowHeight="12.75" x14ac:dyDescent="0.2"/>
  <cols>
    <col min="1" max="1" width="7.85546875" customWidth="1"/>
    <col min="2" max="2" width="2.85546875" customWidth="1"/>
    <col min="3" max="3" width="33.85546875" customWidth="1"/>
    <col min="4" max="4" width="15.28515625" style="58" customWidth="1"/>
    <col min="5" max="5" width="13" customWidth="1"/>
    <col min="6" max="6" width="12.85546875" customWidth="1"/>
    <col min="7" max="8" width="13.140625" customWidth="1"/>
    <col min="9" max="9" width="11.85546875" customWidth="1"/>
    <col min="10" max="10" width="14.85546875" customWidth="1"/>
    <col min="11" max="11" width="13.28515625" customWidth="1"/>
    <col min="13" max="13" width="9.85546875" customWidth="1"/>
    <col min="21" max="21" width="12.7109375" bestFit="1" customWidth="1"/>
  </cols>
  <sheetData>
    <row r="1" spans="2:11" ht="15" hidden="1" customHeight="1" x14ac:dyDescent="0.2">
      <c r="D1" s="513">
        <f>DATE(YEAR('Datos generales'!N10),MONTH('Datos generales'!N10),DAY(1))</f>
        <v>43831</v>
      </c>
      <c r="E1" s="513">
        <f>DATE(YEAR(D1)+2,MONTH(1),DAY(1))</f>
        <v>44562</v>
      </c>
      <c r="F1" s="513">
        <f>DATE(YEAR(E1),MONTH(E1)+11,DAY(31))</f>
        <v>44926</v>
      </c>
      <c r="H1" s="514"/>
      <c r="I1" s="514"/>
      <c r="J1" s="514"/>
      <c r="K1" s="514"/>
    </row>
    <row r="2" spans="2:11" x14ac:dyDescent="0.2">
      <c r="E2" s="515"/>
      <c r="F2" s="515"/>
    </row>
    <row r="3" spans="2:11" x14ac:dyDescent="0.2">
      <c r="E3" s="515"/>
      <c r="F3" s="515"/>
    </row>
    <row r="4" spans="2:11" x14ac:dyDescent="0.2">
      <c r="E4" s="515"/>
      <c r="F4" s="515"/>
    </row>
    <row r="5" spans="2:11" x14ac:dyDescent="0.2">
      <c r="B5" s="1340" t="s">
        <v>167</v>
      </c>
      <c r="C5" s="1341"/>
      <c r="D5" s="1341"/>
      <c r="E5" s="1341"/>
      <c r="F5" s="1341"/>
      <c r="G5" s="1341"/>
      <c r="H5" s="1342"/>
    </row>
    <row r="6" spans="2:11" x14ac:dyDescent="0.2">
      <c r="B6" s="1343"/>
      <c r="C6" s="1326"/>
      <c r="D6" s="1326"/>
      <c r="E6" s="1326"/>
      <c r="F6" s="1326"/>
      <c r="G6" s="1326"/>
      <c r="H6" s="1344"/>
    </row>
    <row r="7" spans="2:11" x14ac:dyDescent="0.2">
      <c r="B7" s="1343"/>
      <c r="C7" s="1326"/>
      <c r="D7" s="1326"/>
      <c r="E7" s="1326"/>
      <c r="F7" s="1326"/>
      <c r="G7" s="1326"/>
      <c r="H7" s="1344"/>
    </row>
    <row r="8" spans="2:11" x14ac:dyDescent="0.2">
      <c r="B8" s="1343"/>
      <c r="C8" s="1326"/>
      <c r="D8" s="1326"/>
      <c r="E8" s="1326"/>
      <c r="F8" s="1326"/>
      <c r="G8" s="1326"/>
      <c r="H8" s="1344"/>
    </row>
    <row r="9" spans="2:11" x14ac:dyDescent="0.2">
      <c r="B9" s="1343"/>
      <c r="C9" s="1326"/>
      <c r="D9" s="1326"/>
      <c r="E9" s="1326"/>
      <c r="F9" s="1326"/>
      <c r="G9" s="1326"/>
      <c r="H9" s="1344"/>
    </row>
    <row r="10" spans="2:11" x14ac:dyDescent="0.2">
      <c r="B10" s="1343"/>
      <c r="C10" s="1326"/>
      <c r="D10" s="1326"/>
      <c r="E10" s="1326"/>
      <c r="F10" s="1326"/>
      <c r="G10" s="1326"/>
      <c r="H10" s="1344"/>
    </row>
    <row r="11" spans="2:11" x14ac:dyDescent="0.2">
      <c r="B11" s="1343"/>
      <c r="C11" s="1326"/>
      <c r="D11" s="1326"/>
      <c r="E11" s="1326"/>
      <c r="F11" s="1326"/>
      <c r="G11" s="1326"/>
      <c r="H11" s="1344"/>
    </row>
    <row r="12" spans="2:11" x14ac:dyDescent="0.2">
      <c r="B12" s="1343"/>
      <c r="C12" s="1326"/>
      <c r="D12" s="1326"/>
      <c r="E12" s="1326"/>
      <c r="F12" s="1326"/>
      <c r="G12" s="1326"/>
      <c r="H12" s="1344"/>
    </row>
    <row r="13" spans="2:11" x14ac:dyDescent="0.2">
      <c r="B13" s="1343"/>
      <c r="C13" s="1326"/>
      <c r="D13" s="1326"/>
      <c r="E13" s="1326"/>
      <c r="F13" s="1326"/>
      <c r="G13" s="1326"/>
      <c r="H13" s="1344"/>
    </row>
    <row r="14" spans="2:11" x14ac:dyDescent="0.2">
      <c r="B14" s="1343"/>
      <c r="C14" s="1326"/>
      <c r="D14" s="1326"/>
      <c r="E14" s="1326"/>
      <c r="F14" s="1326"/>
      <c r="G14" s="1326"/>
      <c r="H14" s="1344"/>
    </row>
    <row r="15" spans="2:11" x14ac:dyDescent="0.2">
      <c r="B15" s="1343"/>
      <c r="C15" s="1326"/>
      <c r="D15" s="1326"/>
      <c r="E15" s="1326"/>
      <c r="F15" s="1326"/>
      <c r="G15" s="1326"/>
      <c r="H15" s="1344"/>
    </row>
    <row r="16" spans="2:11" x14ac:dyDescent="0.2">
      <c r="B16" s="1343"/>
      <c r="C16" s="1326"/>
      <c r="D16" s="1326"/>
      <c r="E16" s="1326"/>
      <c r="F16" s="1326"/>
      <c r="G16" s="1326"/>
      <c r="H16" s="1344"/>
    </row>
    <row r="17" spans="1:13" x14ac:dyDescent="0.2">
      <c r="A17" s="516"/>
      <c r="B17" s="1343"/>
      <c r="C17" s="1326"/>
      <c r="D17" s="1326"/>
      <c r="E17" s="1326"/>
      <c r="F17" s="1326"/>
      <c r="G17" s="1326"/>
      <c r="H17" s="1344"/>
    </row>
    <row r="18" spans="1:13" x14ac:dyDescent="0.2">
      <c r="A18" s="516"/>
      <c r="B18" s="1345"/>
      <c r="C18" s="1346"/>
      <c r="D18" s="1346"/>
      <c r="E18" s="1346"/>
      <c r="F18" s="1346"/>
      <c r="G18" s="1346"/>
      <c r="H18" s="1347"/>
    </row>
    <row r="19" spans="1:13" x14ac:dyDescent="0.2">
      <c r="A19" s="516"/>
      <c r="C19" s="116"/>
      <c r="D19" s="123"/>
    </row>
    <row r="20" spans="1:13" x14ac:dyDescent="0.2">
      <c r="A20" s="516"/>
      <c r="C20" s="116"/>
      <c r="D20" s="123"/>
    </row>
    <row r="21" spans="1:13" x14ac:dyDescent="0.2">
      <c r="A21" s="516"/>
      <c r="C21" s="116"/>
      <c r="D21" s="123"/>
    </row>
    <row r="22" spans="1:13" ht="15.75" x14ac:dyDescent="0.25">
      <c r="C22" s="138" t="s">
        <v>168</v>
      </c>
      <c r="D22" s="9"/>
      <c r="E22" s="12"/>
      <c r="F22" s="7"/>
      <c r="G22" s="7"/>
      <c r="H22" s="7"/>
    </row>
    <row r="23" spans="1:13" ht="15.75" x14ac:dyDescent="0.25">
      <c r="C23" s="115"/>
      <c r="D23" s="9"/>
      <c r="E23" s="12"/>
      <c r="F23" s="7"/>
      <c r="G23" s="7"/>
      <c r="H23" s="7"/>
    </row>
    <row r="24" spans="1:13" x14ac:dyDescent="0.2">
      <c r="C24" s="618" t="s">
        <v>169</v>
      </c>
      <c r="D24" s="14"/>
      <c r="E24" s="12"/>
      <c r="F24" s="7"/>
      <c r="G24" s="7"/>
      <c r="H24" s="7"/>
    </row>
    <row r="25" spans="1:13" ht="18.75" customHeight="1" x14ac:dyDescent="0.2">
      <c r="C25" s="1352" t="s">
        <v>170</v>
      </c>
      <c r="D25" s="20" t="s">
        <v>171</v>
      </c>
      <c r="E25" s="1350" t="s">
        <v>172</v>
      </c>
      <c r="F25" s="1353" t="s">
        <v>173</v>
      </c>
      <c r="G25" s="1353" t="s">
        <v>174</v>
      </c>
      <c r="H25" s="1353" t="s">
        <v>175</v>
      </c>
    </row>
    <row r="26" spans="1:13" ht="26.25" customHeight="1" x14ac:dyDescent="0.2">
      <c r="C26" s="1352"/>
      <c r="D26" s="20" t="s">
        <v>176</v>
      </c>
      <c r="E26" s="1351"/>
      <c r="F26" s="1353"/>
      <c r="G26" s="1353"/>
      <c r="H26" s="1353"/>
    </row>
    <row r="27" spans="1:13" x14ac:dyDescent="0.2">
      <c r="C27" s="25" t="s">
        <v>177</v>
      </c>
      <c r="D27" s="124"/>
      <c r="E27" s="27"/>
      <c r="F27" s="27"/>
      <c r="G27" s="27"/>
      <c r="H27" s="27"/>
      <c r="M27" s="1"/>
    </row>
    <row r="28" spans="1:13" x14ac:dyDescent="0.2">
      <c r="C28" s="203" t="s">
        <v>178</v>
      </c>
      <c r="D28" s="242"/>
      <c r="E28" s="204">
        <v>50</v>
      </c>
      <c r="F28" s="242"/>
      <c r="G28" s="242"/>
      <c r="H28" s="242"/>
    </row>
    <row r="29" spans="1:13" x14ac:dyDescent="0.2">
      <c r="C29" s="203" t="s">
        <v>179</v>
      </c>
      <c r="D29" s="242"/>
      <c r="E29" s="204">
        <v>10</v>
      </c>
      <c r="F29" s="242"/>
      <c r="G29" s="242"/>
      <c r="H29" s="242"/>
    </row>
    <row r="30" spans="1:13" x14ac:dyDescent="0.2">
      <c r="C30" s="203" t="s">
        <v>180</v>
      </c>
      <c r="D30" s="242"/>
      <c r="E30" s="204">
        <v>12</v>
      </c>
      <c r="F30" s="242"/>
      <c r="G30" s="242"/>
      <c r="H30" s="242"/>
    </row>
    <row r="31" spans="1:13" x14ac:dyDescent="0.2">
      <c r="C31" s="205" t="s">
        <v>181</v>
      </c>
      <c r="D31" s="242"/>
      <c r="E31" s="204">
        <v>4</v>
      </c>
      <c r="F31" s="242"/>
      <c r="G31" s="242"/>
      <c r="H31" s="242"/>
    </row>
    <row r="32" spans="1:13" x14ac:dyDescent="0.2">
      <c r="C32" s="203" t="s">
        <v>182</v>
      </c>
      <c r="D32" s="242"/>
      <c r="E32" s="204">
        <v>10</v>
      </c>
      <c r="F32" s="242"/>
      <c r="G32" s="242"/>
      <c r="H32" s="242"/>
    </row>
    <row r="33" spans="3:13" x14ac:dyDescent="0.2">
      <c r="C33" s="203" t="s">
        <v>183</v>
      </c>
      <c r="D33" s="242"/>
      <c r="E33" s="204">
        <v>7</v>
      </c>
      <c r="F33" s="242"/>
      <c r="G33" s="242"/>
      <c r="H33" s="242"/>
    </row>
    <row r="34" spans="3:13" x14ac:dyDescent="0.2">
      <c r="C34" s="205" t="s">
        <v>184</v>
      </c>
      <c r="D34" s="242"/>
      <c r="E34" s="204">
        <v>5</v>
      </c>
      <c r="F34" s="242"/>
      <c r="G34" s="242"/>
      <c r="H34" s="242"/>
    </row>
    <row r="35" spans="3:13" x14ac:dyDescent="0.2">
      <c r="C35" s="205" t="s">
        <v>185</v>
      </c>
      <c r="D35" s="242"/>
      <c r="E35" s="204"/>
      <c r="F35" s="242"/>
      <c r="G35" s="242"/>
      <c r="H35" s="242"/>
    </row>
    <row r="36" spans="3:13" x14ac:dyDescent="0.2">
      <c r="C36" s="206"/>
      <c r="D36" s="242"/>
      <c r="E36" s="204"/>
      <c r="F36" s="242"/>
      <c r="G36" s="242"/>
      <c r="H36" s="242"/>
    </row>
    <row r="37" spans="3:13" x14ac:dyDescent="0.2">
      <c r="C37" s="206"/>
      <c r="D37" s="242"/>
      <c r="E37" s="204"/>
      <c r="F37" s="242"/>
      <c r="G37" s="242"/>
      <c r="H37" s="242"/>
    </row>
    <row r="38" spans="3:13" x14ac:dyDescent="0.2">
      <c r="C38" s="553" t="s">
        <v>186</v>
      </c>
      <c r="D38" s="242"/>
      <c r="E38" s="204"/>
      <c r="F38" s="242"/>
      <c r="G38" s="242"/>
      <c r="H38" s="242"/>
    </row>
    <row r="39" spans="3:13" x14ac:dyDescent="0.2">
      <c r="C39" s="553" t="s">
        <v>187</v>
      </c>
      <c r="D39" s="242">
        <v>0</v>
      </c>
      <c r="E39" s="809">
        <v>0</v>
      </c>
      <c r="F39" s="242"/>
      <c r="G39" s="242"/>
      <c r="H39" s="242"/>
    </row>
    <row r="40" spans="3:13" x14ac:dyDescent="0.2">
      <c r="C40" s="118" t="s">
        <v>188</v>
      </c>
      <c r="D40" s="125">
        <f>SUM(D28:D39)</f>
        <v>0</v>
      </c>
      <c r="E40" s="119"/>
      <c r="F40" s="129">
        <f>SUM(F28:F39)</f>
        <v>0</v>
      </c>
      <c r="G40" s="129">
        <f>SUM(G28:G39)</f>
        <v>0</v>
      </c>
      <c r="H40" s="129">
        <f>SUM(H28:H39)</f>
        <v>0</v>
      </c>
      <c r="M40" s="1"/>
    </row>
    <row r="41" spans="3:13" x14ac:dyDescent="0.2">
      <c r="C41" s="26" t="s">
        <v>189</v>
      </c>
      <c r="D41" s="126"/>
      <c r="E41" s="12"/>
      <c r="F41" s="108"/>
      <c r="G41" s="108"/>
      <c r="H41" s="108"/>
      <c r="M41" s="1"/>
    </row>
    <row r="42" spans="3:13" x14ac:dyDescent="0.2">
      <c r="C42" s="206" t="s">
        <v>190</v>
      </c>
      <c r="D42" s="242"/>
      <c r="E42" s="207">
        <v>3</v>
      </c>
      <c r="F42" s="242"/>
      <c r="G42" s="242"/>
      <c r="H42" s="242"/>
    </row>
    <row r="43" spans="3:13" x14ac:dyDescent="0.2">
      <c r="C43" s="206" t="s">
        <v>191</v>
      </c>
      <c r="D43" s="242"/>
      <c r="E43" s="207">
        <v>5</v>
      </c>
      <c r="F43" s="242"/>
      <c r="G43" s="242"/>
      <c r="H43" s="242"/>
    </row>
    <row r="44" spans="3:13" x14ac:dyDescent="0.2">
      <c r="C44" s="206" t="s">
        <v>192</v>
      </c>
      <c r="D44" s="242"/>
      <c r="E44" s="207">
        <v>5</v>
      </c>
      <c r="F44" s="242"/>
      <c r="G44" s="242"/>
      <c r="H44" s="242"/>
    </row>
    <row r="45" spans="3:13" x14ac:dyDescent="0.2">
      <c r="C45" s="206" t="s">
        <v>193</v>
      </c>
      <c r="D45" s="242"/>
      <c r="E45" s="207">
        <v>3</v>
      </c>
      <c r="F45" s="242"/>
      <c r="G45" s="242"/>
      <c r="H45" s="242"/>
      <c r="I45" s="686"/>
    </row>
    <row r="46" spans="3:13" x14ac:dyDescent="0.2">
      <c r="C46" s="206" t="s">
        <v>194</v>
      </c>
      <c r="D46" s="242"/>
      <c r="E46" s="207"/>
      <c r="F46" s="242"/>
      <c r="G46" s="242"/>
      <c r="H46" s="242"/>
    </row>
    <row r="47" spans="3:13" x14ac:dyDescent="0.2">
      <c r="C47" s="206"/>
      <c r="D47" s="242"/>
      <c r="E47" s="207"/>
      <c r="F47" s="242"/>
      <c r="G47" s="242"/>
      <c r="H47" s="242"/>
    </row>
    <row r="48" spans="3:13" x14ac:dyDescent="0.2">
      <c r="C48" s="206"/>
      <c r="D48" s="242"/>
      <c r="E48" s="204"/>
      <c r="F48" s="242"/>
      <c r="G48" s="242"/>
      <c r="H48" s="242"/>
    </row>
    <row r="49" spans="3:13" x14ac:dyDescent="0.2">
      <c r="C49" s="206"/>
      <c r="D49" s="242"/>
      <c r="E49" s="204"/>
      <c r="F49" s="242"/>
      <c r="G49" s="242"/>
      <c r="H49" s="242"/>
    </row>
    <row r="50" spans="3:13" x14ac:dyDescent="0.2">
      <c r="C50" s="206"/>
      <c r="D50" s="242"/>
      <c r="E50" s="204"/>
      <c r="F50" s="242"/>
      <c r="G50" s="242"/>
      <c r="H50" s="242"/>
    </row>
    <row r="51" spans="3:13" hidden="1" x14ac:dyDescent="0.2">
      <c r="C51" s="717" t="s">
        <v>195</v>
      </c>
      <c r="D51" s="627"/>
      <c r="E51" s="628"/>
      <c r="F51" s="627"/>
      <c r="G51" s="627"/>
      <c r="H51" s="627"/>
    </row>
    <row r="52" spans="3:13" hidden="1" x14ac:dyDescent="0.2">
      <c r="C52" s="206" t="s">
        <v>196</v>
      </c>
      <c r="D52" s="550"/>
      <c r="E52" s="628"/>
      <c r="F52" s="550"/>
      <c r="G52" s="550"/>
      <c r="H52" s="550"/>
    </row>
    <row r="53" spans="3:13" hidden="1" x14ac:dyDescent="0.2">
      <c r="C53" s="206"/>
      <c r="D53" s="550"/>
      <c r="E53" s="628"/>
      <c r="F53" s="550"/>
      <c r="G53" s="242"/>
      <c r="H53" s="242"/>
    </row>
    <row r="54" spans="3:13" hidden="1" x14ac:dyDescent="0.2">
      <c r="C54" s="206"/>
      <c r="D54" s="550"/>
      <c r="E54" s="628"/>
      <c r="F54" s="550"/>
      <c r="G54" s="242"/>
      <c r="H54" s="242"/>
    </row>
    <row r="55" spans="3:13" x14ac:dyDescent="0.2">
      <c r="C55" s="117" t="s">
        <v>197</v>
      </c>
      <c r="D55" s="129">
        <f>SUM(D42:D54)</f>
        <v>0</v>
      </c>
      <c r="E55" s="119"/>
      <c r="F55" s="129">
        <f>SUM(F42:F54)</f>
        <v>0</v>
      </c>
      <c r="G55" s="129">
        <f>SUM(G42:G54)</f>
        <v>0</v>
      </c>
      <c r="H55" s="129">
        <f>SUM(H42:H54)</f>
        <v>0</v>
      </c>
      <c r="M55" s="1"/>
    </row>
    <row r="56" spans="3:13" x14ac:dyDescent="0.2">
      <c r="C56" s="26" t="s">
        <v>198</v>
      </c>
      <c r="D56" s="97"/>
      <c r="E56" s="12"/>
      <c r="F56" s="108"/>
      <c r="G56" s="108"/>
      <c r="H56" s="108"/>
      <c r="M56" s="1"/>
    </row>
    <row r="57" spans="3:13" x14ac:dyDescent="0.2">
      <c r="C57" s="206" t="s">
        <v>199</v>
      </c>
      <c r="D57" s="242"/>
      <c r="E57" s="628"/>
      <c r="F57" s="517"/>
      <c r="G57" s="517"/>
      <c r="H57" s="517"/>
    </row>
    <row r="58" spans="3:13" x14ac:dyDescent="0.2">
      <c r="C58" s="206" t="s">
        <v>200</v>
      </c>
      <c r="D58" s="242"/>
      <c r="E58" s="628"/>
      <c r="F58" s="550"/>
      <c r="G58" s="242"/>
      <c r="H58" s="242"/>
    </row>
    <row r="59" spans="3:13" x14ac:dyDescent="0.2">
      <c r="C59" s="206" t="s">
        <v>201</v>
      </c>
      <c r="D59" s="242"/>
      <c r="E59" s="628"/>
      <c r="F59" s="550"/>
      <c r="G59" s="242"/>
      <c r="H59" s="242"/>
    </row>
    <row r="60" spans="3:13" x14ac:dyDescent="0.2">
      <c r="C60" s="206"/>
      <c r="D60" s="242"/>
      <c r="E60" s="628"/>
      <c r="F60" s="550"/>
      <c r="G60" s="242"/>
      <c r="H60" s="242"/>
    </row>
    <row r="61" spans="3:13" x14ac:dyDescent="0.2">
      <c r="C61" s="117" t="s">
        <v>202</v>
      </c>
      <c r="D61" s="127">
        <f>SUM(D57:D60)</f>
        <v>0</v>
      </c>
      <c r="E61" s="119"/>
      <c r="F61" s="129">
        <f>SUM(F57:F60)</f>
        <v>0</v>
      </c>
      <c r="G61" s="129">
        <f>SUM(G57:G60)</f>
        <v>0</v>
      </c>
      <c r="H61" s="129">
        <f>SUM(H57:H60)</f>
        <v>0</v>
      </c>
      <c r="M61" s="1"/>
    </row>
    <row r="63" spans="3:13" x14ac:dyDescent="0.2">
      <c r="C63" s="120" t="s">
        <v>203</v>
      </c>
      <c r="D63" s="128">
        <f>D40+D55+D61</f>
        <v>0</v>
      </c>
      <c r="E63" s="119"/>
      <c r="F63" s="128">
        <f>F40+F55+F61</f>
        <v>0</v>
      </c>
      <c r="G63" s="128">
        <f>G40+G55+G61</f>
        <v>0</v>
      </c>
      <c r="H63" s="128">
        <f>H40+H55+H61</f>
        <v>0</v>
      </c>
      <c r="M63" s="1"/>
    </row>
    <row r="64" spans="3:13" x14ac:dyDescent="0.2">
      <c r="C64" s="22"/>
      <c r="D64" s="275"/>
      <c r="E64" s="276"/>
      <c r="F64" s="275"/>
      <c r="G64" s="275"/>
      <c r="H64" s="275"/>
      <c r="M64" s="1"/>
    </row>
    <row r="65" spans="3:13" x14ac:dyDescent="0.2">
      <c r="C65" s="26" t="s">
        <v>204</v>
      </c>
      <c r="D65" s="26"/>
      <c r="E65" s="276"/>
      <c r="F65" s="275"/>
      <c r="G65" s="275"/>
      <c r="H65" s="275"/>
      <c r="M65" s="1"/>
    </row>
    <row r="66" spans="3:13" x14ac:dyDescent="0.2">
      <c r="C66" s="202" t="s">
        <v>205</v>
      </c>
      <c r="D66" s="242"/>
      <c r="E66" s="628"/>
      <c r="F66" s="517"/>
      <c r="G66" s="517"/>
      <c r="H66" s="517"/>
    </row>
    <row r="67" spans="3:13" x14ac:dyDescent="0.2">
      <c r="C67" s="553" t="s">
        <v>206</v>
      </c>
      <c r="D67" s="242"/>
      <c r="E67" s="276"/>
      <c r="F67" s="275"/>
      <c r="G67" s="275"/>
      <c r="H67" s="275"/>
      <c r="M67" s="1"/>
    </row>
    <row r="68" spans="3:13" x14ac:dyDescent="0.2">
      <c r="C68" s="206" t="s">
        <v>207</v>
      </c>
      <c r="D68" s="242"/>
      <c r="E68" s="276"/>
      <c r="F68" s="275"/>
      <c r="G68" s="275"/>
      <c r="H68" s="275"/>
      <c r="M68" s="1"/>
    </row>
    <row r="69" spans="3:13" x14ac:dyDescent="0.2">
      <c r="C69" s="206" t="s">
        <v>208</v>
      </c>
      <c r="D69" s="242"/>
      <c r="E69" s="276"/>
      <c r="F69" s="275"/>
      <c r="G69" s="275"/>
      <c r="H69" s="275"/>
      <c r="M69" s="1"/>
    </row>
    <row r="70" spans="3:13" x14ac:dyDescent="0.2">
      <c r="C70" s="206" t="s">
        <v>209</v>
      </c>
      <c r="D70" s="242"/>
      <c r="E70" s="276"/>
      <c r="F70" s="275"/>
      <c r="G70" s="275"/>
      <c r="H70" s="275"/>
      <c r="M70" s="1"/>
    </row>
    <row r="71" spans="3:13" x14ac:dyDescent="0.2">
      <c r="C71" s="206" t="s">
        <v>210</v>
      </c>
      <c r="D71" s="242"/>
      <c r="E71" s="276"/>
      <c r="F71" s="275"/>
      <c r="G71" s="275"/>
      <c r="H71" s="275"/>
      <c r="M71" s="1"/>
    </row>
    <row r="72" spans="3:13" x14ac:dyDescent="0.2">
      <c r="C72" s="206" t="s">
        <v>211</v>
      </c>
      <c r="D72" s="242"/>
      <c r="E72" s="276"/>
      <c r="F72" s="275"/>
      <c r="G72" s="275"/>
      <c r="H72" s="275"/>
      <c r="M72" s="1"/>
    </row>
    <row r="73" spans="3:13" x14ac:dyDescent="0.2">
      <c r="C73" s="206" t="s">
        <v>212</v>
      </c>
      <c r="D73" s="242"/>
      <c r="E73" s="276"/>
      <c r="F73" s="275"/>
      <c r="G73" s="275"/>
      <c r="H73" s="275"/>
      <c r="M73" s="1"/>
    </row>
    <row r="74" spans="3:13" x14ac:dyDescent="0.2">
      <c r="C74" s="206"/>
      <c r="D74" s="242"/>
      <c r="E74" s="276"/>
      <c r="F74" s="275"/>
      <c r="G74" s="275"/>
      <c r="H74" s="275"/>
      <c r="M74" s="1"/>
    </row>
    <row r="75" spans="3:13" hidden="1" x14ac:dyDescent="0.2">
      <c r="C75" s="619" t="s">
        <v>213</v>
      </c>
      <c r="D75" s="620">
        <f>SUM(D68:D74)+D66</f>
        <v>0</v>
      </c>
      <c r="E75" s="1264" t="s">
        <v>214</v>
      </c>
      <c r="F75" s="275"/>
      <c r="G75" s="275"/>
      <c r="H75" s="275"/>
      <c r="M75" s="1"/>
    </row>
    <row r="76" spans="3:13" x14ac:dyDescent="0.2">
      <c r="C76" s="120" t="s">
        <v>215</v>
      </c>
      <c r="D76" s="552">
        <f>SUM(D66:D74)</f>
        <v>0</v>
      </c>
      <c r="E76" s="276"/>
      <c r="F76" s="275"/>
      <c r="G76" s="275"/>
      <c r="H76" s="275"/>
      <c r="M76" s="1"/>
    </row>
    <row r="77" spans="3:13" x14ac:dyDescent="0.2">
      <c r="C77" s="22"/>
      <c r="D77" s="275"/>
      <c r="E77" s="276"/>
      <c r="F77" s="275"/>
      <c r="G77" s="275"/>
      <c r="H77" s="275"/>
      <c r="M77" s="1"/>
    </row>
    <row r="78" spans="3:13" ht="30.75" customHeight="1" x14ac:dyDescent="0.2">
      <c r="C78" s="26" t="s">
        <v>216</v>
      </c>
      <c r="D78" s="284" t="s">
        <v>217</v>
      </c>
      <c r="E78" s="1133" t="s">
        <v>218</v>
      </c>
      <c r="F78" s="7"/>
      <c r="G78" s="1339" t="s">
        <v>219</v>
      </c>
      <c r="H78" s="1339"/>
      <c r="I78" s="1339"/>
      <c r="J78" s="1339"/>
      <c r="K78" s="1339"/>
      <c r="L78" s="1339"/>
      <c r="M78" s="1339"/>
    </row>
    <row r="79" spans="3:13" ht="15.75" customHeight="1" x14ac:dyDescent="0.2">
      <c r="C79" s="742" t="str">
        <f>'Previsión de negocio'!B30</f>
        <v>Producto o servicio 1</v>
      </c>
      <c r="D79" s="1068">
        <f>'PRESUPUESTO INICIAL INVER_FINAN'!F71</f>
        <v>0</v>
      </c>
      <c r="E79" s="242"/>
      <c r="F79" s="7"/>
      <c r="G79" s="1339"/>
      <c r="H79" s="1339"/>
      <c r="I79" s="1339"/>
      <c r="J79" s="1339"/>
      <c r="K79" s="1339"/>
      <c r="L79" s="1339"/>
      <c r="M79" s="1339"/>
    </row>
    <row r="80" spans="3:13" x14ac:dyDescent="0.2">
      <c r="C80" s="742" t="str">
        <f>'Previsión de negocio'!B36</f>
        <v>Producto o servicio 2</v>
      </c>
      <c r="D80" s="1068">
        <f>'PRESUPUESTO INICIAL INVER_FINAN'!F72</f>
        <v>0</v>
      </c>
      <c r="E80" s="242"/>
      <c r="F80" s="7"/>
      <c r="G80" s="1339"/>
      <c r="H80" s="1339"/>
      <c r="I80" s="1339"/>
      <c r="J80" s="1339"/>
      <c r="K80" s="1339"/>
      <c r="L80" s="1339"/>
      <c r="M80" s="1339"/>
    </row>
    <row r="81" spans="3:13" x14ac:dyDescent="0.2">
      <c r="C81" s="742" t="str">
        <f>'Previsión de negocio'!B42</f>
        <v>Producto o servicio 3</v>
      </c>
      <c r="D81" s="1068">
        <f>'PRESUPUESTO INICIAL INVER_FINAN'!F73</f>
        <v>0</v>
      </c>
      <c r="E81" s="242"/>
      <c r="F81" s="7"/>
      <c r="G81" s="1339"/>
      <c r="H81" s="1339"/>
      <c r="I81" s="1339"/>
      <c r="J81" s="1339"/>
      <c r="K81" s="1339"/>
      <c r="L81" s="1339"/>
      <c r="M81" s="1339"/>
    </row>
    <row r="82" spans="3:13" x14ac:dyDescent="0.2">
      <c r="C82" s="742">
        <f>'Previsión de negocio'!B48</f>
        <v>0</v>
      </c>
      <c r="D82" s="1068">
        <f>'PRESUPUESTO INICIAL INVER_FINAN'!F74</f>
        <v>0</v>
      </c>
      <c r="E82" s="242"/>
      <c r="F82" s="7"/>
      <c r="G82" s="1339"/>
      <c r="H82" s="1339"/>
      <c r="I82" s="1339"/>
      <c r="J82" s="1339"/>
      <c r="K82" s="1339"/>
      <c r="L82" s="1339"/>
      <c r="M82" s="1339"/>
    </row>
    <row r="83" spans="3:13" x14ac:dyDescent="0.2">
      <c r="C83" s="742">
        <f>'Previsión de negocio'!B54</f>
        <v>0</v>
      </c>
      <c r="D83" s="1068">
        <f>'PRESUPUESTO INICIAL INVER_FINAN'!F75</f>
        <v>0</v>
      </c>
      <c r="E83" s="242"/>
      <c r="F83" s="7"/>
      <c r="G83" s="1339"/>
      <c r="H83" s="1339"/>
      <c r="I83" s="1339"/>
      <c r="J83" s="1339"/>
      <c r="K83" s="1339"/>
      <c r="L83" s="1339"/>
      <c r="M83" s="1339"/>
    </row>
    <row r="84" spans="3:13" x14ac:dyDescent="0.2">
      <c r="C84" s="742">
        <f>'Previsión de negocio'!B60</f>
        <v>0</v>
      </c>
      <c r="D84" s="1068">
        <f>'PRESUPUESTO INICIAL INVER_FINAN'!F76</f>
        <v>0</v>
      </c>
      <c r="E84" s="242"/>
      <c r="F84" s="7"/>
      <c r="H84" s="7"/>
    </row>
    <row r="85" spans="3:13" x14ac:dyDescent="0.2">
      <c r="C85" s="742">
        <f>'Previsión de negocio'!B66</f>
        <v>0</v>
      </c>
      <c r="D85" s="1068">
        <f>'PRESUPUESTO INICIAL INVER_FINAN'!F77</f>
        <v>0</v>
      </c>
      <c r="E85" s="242"/>
      <c r="F85" s="7"/>
      <c r="G85" s="7"/>
      <c r="H85" s="7"/>
    </row>
    <row r="86" spans="3:13" x14ac:dyDescent="0.2">
      <c r="C86" s="742">
        <f>'Previsión de negocio'!B72</f>
        <v>0</v>
      </c>
      <c r="D86" s="1068">
        <f>'PRESUPUESTO INICIAL INVER_FINAN'!F78</f>
        <v>0</v>
      </c>
      <c r="E86" s="242"/>
      <c r="F86" s="7"/>
      <c r="G86" s="7"/>
      <c r="H86" s="7"/>
    </row>
    <row r="87" spans="3:13" x14ac:dyDescent="0.2">
      <c r="C87" s="742">
        <f>'Previsión de negocio'!B78</f>
        <v>0</v>
      </c>
      <c r="D87" s="1068">
        <f>'PRESUPUESTO INICIAL INVER_FINAN'!F79</f>
        <v>0</v>
      </c>
      <c r="E87" s="242"/>
      <c r="F87" s="7"/>
      <c r="G87" s="7"/>
      <c r="H87" s="7"/>
    </row>
    <row r="88" spans="3:13" x14ac:dyDescent="0.2">
      <c r="C88" s="742">
        <f>'Previsión de negocio'!B84</f>
        <v>0</v>
      </c>
      <c r="D88" s="1068">
        <f>'PRESUPUESTO INICIAL INVER_FINAN'!F80</f>
        <v>0</v>
      </c>
      <c r="E88" s="242"/>
      <c r="F88" s="7"/>
      <c r="G88" s="7"/>
      <c r="H88" s="7"/>
    </row>
    <row r="89" spans="3:13" x14ac:dyDescent="0.2">
      <c r="C89" s="120" t="s">
        <v>220</v>
      </c>
      <c r="D89" s="552">
        <f>SUM(D79:D88)</f>
        <v>0</v>
      </c>
      <c r="E89" s="12"/>
      <c r="F89" s="7"/>
      <c r="G89" s="7"/>
      <c r="H89" s="7"/>
      <c r="M89" s="1"/>
    </row>
    <row r="90" spans="3:13" ht="13.5" thickBot="1" x14ac:dyDescent="0.25">
      <c r="C90" s="8"/>
      <c r="D90" s="97"/>
      <c r="E90" s="12"/>
      <c r="F90" s="7"/>
      <c r="G90" s="7"/>
      <c r="H90" s="7"/>
    </row>
    <row r="91" spans="3:13" ht="17.25" thickTop="1" thickBot="1" x14ac:dyDescent="0.3">
      <c r="C91" s="132" t="s">
        <v>221</v>
      </c>
      <c r="D91" s="133">
        <f>D63+D76+D89</f>
        <v>0</v>
      </c>
      <c r="E91" s="12"/>
      <c r="F91" s="7"/>
      <c r="G91" s="7"/>
      <c r="H91" s="7"/>
    </row>
    <row r="92" spans="3:13" ht="13.5" thickTop="1" x14ac:dyDescent="0.2">
      <c r="C92" s="27"/>
      <c r="D92" s="9"/>
      <c r="E92" s="12"/>
      <c r="F92" s="7"/>
      <c r="H92" s="7"/>
    </row>
    <row r="93" spans="3:13" hidden="1" x14ac:dyDescent="0.2">
      <c r="C93" s="27"/>
      <c r="D93" s="9"/>
      <c r="E93" s="12"/>
      <c r="F93" s="7"/>
      <c r="G93" s="1134">
        <f>SUM(E79:E88)</f>
        <v>0</v>
      </c>
      <c r="H93" s="7"/>
    </row>
    <row r="94" spans="3:13" x14ac:dyDescent="0.2">
      <c r="C94" s="7"/>
      <c r="D94" s="9"/>
      <c r="E94" s="12"/>
      <c r="F94" s="7"/>
      <c r="G94" s="7"/>
      <c r="H94" s="7"/>
      <c r="I94" s="7"/>
      <c r="J94" s="7"/>
      <c r="K94" s="7"/>
    </row>
    <row r="95" spans="3:13" ht="15.75" x14ac:dyDescent="0.25">
      <c r="C95" s="138" t="s">
        <v>222</v>
      </c>
      <c r="D95" s="59"/>
      <c r="E95" s="9"/>
      <c r="F95" s="7"/>
      <c r="G95" s="7"/>
      <c r="H95" s="7"/>
      <c r="I95" s="7"/>
      <c r="J95" s="7"/>
      <c r="K95" s="7"/>
    </row>
    <row r="96" spans="3:13" x14ac:dyDescent="0.2">
      <c r="C96" s="8"/>
      <c r="D96" s="9"/>
      <c r="E96" s="9"/>
      <c r="F96" s="7"/>
      <c r="G96" s="7"/>
      <c r="H96" s="7"/>
      <c r="I96" s="7"/>
      <c r="J96" s="7"/>
      <c r="K96" s="7"/>
    </row>
    <row r="97" spans="3:15" x14ac:dyDescent="0.2">
      <c r="C97" s="105" t="s">
        <v>170</v>
      </c>
      <c r="D97" s="1348" t="s">
        <v>176</v>
      </c>
      <c r="E97" s="1299" t="s">
        <v>223</v>
      </c>
      <c r="F97" s="1299" t="s">
        <v>224</v>
      </c>
      <c r="G97" s="1299" t="s">
        <v>225</v>
      </c>
      <c r="I97" s="7"/>
      <c r="J97" s="7"/>
      <c r="K97" s="7"/>
    </row>
    <row r="98" spans="3:15" ht="24" customHeight="1" x14ac:dyDescent="0.25">
      <c r="C98" s="121" t="s">
        <v>226</v>
      </c>
      <c r="D98" s="1349"/>
      <c r="E98" s="1300"/>
      <c r="F98" s="1300"/>
      <c r="G98" s="1300"/>
      <c r="I98" s="7"/>
      <c r="J98" s="7"/>
      <c r="K98" s="7"/>
    </row>
    <row r="99" spans="3:15" x14ac:dyDescent="0.2">
      <c r="C99" s="206" t="s">
        <v>227</v>
      </c>
      <c r="D99" s="208"/>
      <c r="E99" s="550"/>
      <c r="F99" s="242"/>
      <c r="G99" s="242"/>
      <c r="I99" s="7"/>
      <c r="J99" s="7"/>
      <c r="K99" s="7"/>
    </row>
    <row r="100" spans="3:15" x14ac:dyDescent="0.2">
      <c r="C100" s="206" t="s">
        <v>228</v>
      </c>
      <c r="D100" s="550"/>
      <c r="E100" s="1132"/>
      <c r="F100" s="1132"/>
      <c r="G100" s="1132"/>
      <c r="I100" s="7"/>
      <c r="J100" s="7"/>
      <c r="K100" s="7"/>
    </row>
    <row r="101" spans="3:15" ht="17.25" customHeight="1" x14ac:dyDescent="0.2">
      <c r="C101" s="117" t="s">
        <v>229</v>
      </c>
      <c r="D101" s="518">
        <f>SUM(D99:D100)</f>
        <v>0</v>
      </c>
      <c r="E101" s="1131">
        <f>SUM(E99:E100)</f>
        <v>0</v>
      </c>
      <c r="F101" s="1131">
        <f>SUM(F99:F100)</f>
        <v>0</v>
      </c>
      <c r="G101" s="1131">
        <f>SUM(G99:G100)</f>
        <v>0</v>
      </c>
      <c r="I101" s="1339" t="s">
        <v>230</v>
      </c>
      <c r="J101" s="1339"/>
      <c r="K101" s="1339"/>
      <c r="L101" s="1339"/>
      <c r="M101" s="1339"/>
      <c r="N101" s="1339"/>
      <c r="O101" s="1339"/>
    </row>
    <row r="102" spans="3:15" x14ac:dyDescent="0.2">
      <c r="C102" s="206" t="s">
        <v>231</v>
      </c>
      <c r="D102" s="242"/>
      <c r="E102" s="242"/>
      <c r="F102" s="242"/>
      <c r="G102" s="242"/>
      <c r="I102" s="1339"/>
      <c r="J102" s="1339"/>
      <c r="K102" s="1339"/>
      <c r="L102" s="1339"/>
      <c r="M102" s="1339"/>
      <c r="N102" s="1339"/>
      <c r="O102" s="1339"/>
    </row>
    <row r="103" spans="3:15" x14ac:dyDescent="0.2">
      <c r="C103" s="206" t="s">
        <v>232</v>
      </c>
      <c r="D103" s="242"/>
      <c r="E103" s="242"/>
      <c r="F103" s="242"/>
      <c r="G103" s="242"/>
      <c r="I103" s="1339"/>
      <c r="J103" s="1339"/>
      <c r="K103" s="1339"/>
      <c r="L103" s="1339"/>
      <c r="M103" s="1339"/>
      <c r="N103" s="1339"/>
      <c r="O103" s="1339"/>
    </row>
    <row r="104" spans="3:15" ht="16.5" customHeight="1" x14ac:dyDescent="0.25">
      <c r="C104" s="122" t="s">
        <v>233</v>
      </c>
      <c r="D104" s="130">
        <f>SUM(D101:D103)</f>
        <v>0</v>
      </c>
      <c r="E104" s="130">
        <f>SUM(E101:E103)</f>
        <v>0</v>
      </c>
      <c r="F104" s="130">
        <f>SUM(F101:F103)</f>
        <v>0</v>
      </c>
      <c r="G104" s="130">
        <f>SUM(G101:G103)</f>
        <v>0</v>
      </c>
      <c r="I104" s="1339"/>
      <c r="J104" s="1339"/>
      <c r="K104" s="1339"/>
      <c r="L104" s="1339"/>
      <c r="M104" s="1339"/>
      <c r="N104" s="1339"/>
      <c r="O104" s="1339"/>
    </row>
    <row r="105" spans="3:15" ht="20.25" customHeight="1" x14ac:dyDescent="0.2">
      <c r="C105" s="8"/>
      <c r="D105" s="126"/>
      <c r="E105" s="96"/>
      <c r="F105" s="7"/>
      <c r="G105" s="7"/>
      <c r="H105" s="7"/>
      <c r="I105" s="7"/>
      <c r="J105" s="7"/>
      <c r="K105" s="7"/>
    </row>
    <row r="106" spans="3:15" ht="15" x14ac:dyDescent="0.25">
      <c r="C106" s="121" t="s">
        <v>234</v>
      </c>
    </row>
    <row r="107" spans="3:15" ht="22.5" customHeight="1" x14ac:dyDescent="0.2">
      <c r="C107" s="26" t="s">
        <v>235</v>
      </c>
      <c r="D107" s="1348" t="s">
        <v>176</v>
      </c>
      <c r="E107" s="519" t="s">
        <v>236</v>
      </c>
      <c r="F107" s="1243" t="s">
        <v>237</v>
      </c>
      <c r="G107" s="221" t="s">
        <v>238</v>
      </c>
      <c r="H107" s="1243" t="s">
        <v>239</v>
      </c>
      <c r="I107" s="1244" t="s">
        <v>240</v>
      </c>
      <c r="J107" s="1299" t="s">
        <v>241</v>
      </c>
      <c r="K107" s="1243" t="s">
        <v>205</v>
      </c>
      <c r="L107" s="1243" t="s">
        <v>242</v>
      </c>
    </row>
    <row r="108" spans="3:15" x14ac:dyDescent="0.2">
      <c r="C108" s="26" t="s">
        <v>243</v>
      </c>
      <c r="D108" s="1349"/>
      <c r="E108" s="520"/>
      <c r="F108" s="521"/>
      <c r="G108" s="522"/>
      <c r="H108" s="521"/>
      <c r="I108" s="521"/>
      <c r="J108" s="1300"/>
      <c r="K108" s="805" t="s">
        <v>244</v>
      </c>
      <c r="L108" s="521"/>
    </row>
    <row r="109" spans="3:15" x14ac:dyDescent="0.2">
      <c r="C109" s="206" t="s">
        <v>245</v>
      </c>
      <c r="D109" s="208"/>
      <c r="E109" s="218">
        <v>5</v>
      </c>
      <c r="F109" s="219">
        <v>12</v>
      </c>
      <c r="G109" s="220">
        <v>5</v>
      </c>
      <c r="H109" s="1069">
        <f>'Datos generales'!$D$10</f>
        <v>43831</v>
      </c>
      <c r="I109" s="1069">
        <f>'Datos generales'!$D$10</f>
        <v>43831</v>
      </c>
      <c r="J109" s="828"/>
      <c r="K109" s="220"/>
      <c r="L109" s="523">
        <f>IF(DATE(YEAR(H109),MONTH(H109),DAY(H109))&lt;='Datos generales'!$D$10,D109-K109,0)</f>
        <v>0</v>
      </c>
    </row>
    <row r="110" spans="3:15" x14ac:dyDescent="0.2">
      <c r="C110" s="206" t="s">
        <v>246</v>
      </c>
      <c r="D110" s="208"/>
      <c r="E110" s="218">
        <v>5</v>
      </c>
      <c r="F110" s="219">
        <v>12</v>
      </c>
      <c r="G110" s="220">
        <v>5</v>
      </c>
      <c r="H110" s="1069">
        <f>'Datos generales'!$D$10</f>
        <v>43831</v>
      </c>
      <c r="I110" s="1069">
        <f>'Datos generales'!$D$10</f>
        <v>43831</v>
      </c>
      <c r="J110" s="828"/>
      <c r="K110" s="220"/>
      <c r="L110" s="523">
        <f>IF(DATE(YEAR(H110),MONTH(H110),DAY(H110))&lt;='Datos generales'!$D$10,D110-K110,0)</f>
        <v>0</v>
      </c>
    </row>
    <row r="111" spans="3:15" x14ac:dyDescent="0.2">
      <c r="C111" s="206"/>
      <c r="D111" s="208"/>
      <c r="E111" s="218"/>
      <c r="F111" s="219"/>
      <c r="G111" s="220">
        <v>5</v>
      </c>
      <c r="H111" s="1069"/>
      <c r="I111" s="1069"/>
      <c r="J111" s="828"/>
      <c r="K111" s="220"/>
      <c r="L111" s="523">
        <f>IF(DATE(YEAR(H111),MONTH(H111),DAY(H111))&lt;='Datos generales'!$D$10,D111-K111,0)</f>
        <v>0</v>
      </c>
    </row>
    <row r="112" spans="3:15" x14ac:dyDescent="0.2">
      <c r="C112" s="117" t="s">
        <v>247</v>
      </c>
      <c r="D112" s="129">
        <f>SUM(L109:L111)</f>
        <v>0</v>
      </c>
      <c r="E112" s="1265" t="s">
        <v>248</v>
      </c>
      <c r="F112" s="524" t="s">
        <v>249</v>
      </c>
      <c r="H112" s="615" t="s">
        <v>250</v>
      </c>
      <c r="I112" s="525"/>
    </row>
    <row r="113" spans="3:19" ht="22.5" customHeight="1" x14ac:dyDescent="0.2">
      <c r="C113" s="26" t="s">
        <v>251</v>
      </c>
      <c r="D113" s="243"/>
      <c r="E113" s="612" t="s">
        <v>236</v>
      </c>
      <c r="F113" s="612" t="s">
        <v>237</v>
      </c>
      <c r="G113" s="613" t="s">
        <v>238</v>
      </c>
      <c r="H113" s="612" t="s">
        <v>252</v>
      </c>
      <c r="I113" s="612" t="s">
        <v>240</v>
      </c>
      <c r="J113" s="614" t="s">
        <v>253</v>
      </c>
      <c r="K113" s="612" t="s">
        <v>254</v>
      </c>
      <c r="M113" s="1339" t="s">
        <v>255</v>
      </c>
      <c r="N113" s="1339"/>
      <c r="O113" s="1339"/>
      <c r="P113" s="1212" t="s">
        <v>256</v>
      </c>
      <c r="Q113" s="1212" t="s">
        <v>257</v>
      </c>
      <c r="R113" s="1212" t="s">
        <v>258</v>
      </c>
      <c r="S113" s="1214"/>
    </row>
    <row r="114" spans="3:19" x14ac:dyDescent="0.2">
      <c r="C114" s="206" t="s">
        <v>259</v>
      </c>
      <c r="D114" s="208"/>
      <c r="E114" s="218">
        <v>3</v>
      </c>
      <c r="F114" s="219">
        <v>12</v>
      </c>
      <c r="G114" s="220">
        <v>6</v>
      </c>
      <c r="H114" s="1069">
        <f>'Datos generales'!$D$10</f>
        <v>43831</v>
      </c>
      <c r="I114" s="1069">
        <f>'Datos generales'!$D$10</f>
        <v>43831</v>
      </c>
      <c r="J114" s="220"/>
      <c r="K114" s="523">
        <f>IF(DATE(YEAR(H114),MONTH(H114),DAY(1))&lt;='Datos generales'!$N$10,D114,0)</f>
        <v>0</v>
      </c>
      <c r="M114" s="1339"/>
      <c r="N114" s="1339"/>
      <c r="O114" s="1339"/>
      <c r="P114" s="1213">
        <f>IF(AND(DATE(YEAR(H114),MONTH(H114),DAY(1))&lt;&gt;'Datos generales'!$N$10,YEAR($H114)='Datos generales'!$P$10),D114,0)</f>
        <v>0</v>
      </c>
      <c r="Q114" s="1213">
        <f>IF(YEAR($H114)='Datos generales'!$P$10+1,D114,0)</f>
        <v>0</v>
      </c>
      <c r="R114" s="1213">
        <f>IF(YEAR($H114)='Datos generales'!$P$10+2,D114,0)</f>
        <v>0</v>
      </c>
      <c r="S114" s="1214"/>
    </row>
    <row r="115" spans="3:19" x14ac:dyDescent="0.2">
      <c r="C115" s="206" t="s">
        <v>260</v>
      </c>
      <c r="D115" s="208"/>
      <c r="E115" s="218">
        <v>3</v>
      </c>
      <c r="F115" s="219">
        <v>12</v>
      </c>
      <c r="G115" s="220">
        <v>5</v>
      </c>
      <c r="H115" s="1069">
        <f>'Datos generales'!$D$10</f>
        <v>43831</v>
      </c>
      <c r="I115" s="1069">
        <f>'Datos generales'!$D$10</f>
        <v>43831</v>
      </c>
      <c r="J115" s="220"/>
      <c r="K115" s="243">
        <f>IF(DATE(YEAR(H115),MONTH(H115),DAY(1))&lt;='Datos generales'!$N$10,D115,0)</f>
        <v>0</v>
      </c>
      <c r="M115" s="1339"/>
      <c r="N115" s="1339"/>
      <c r="O115" s="1339"/>
      <c r="P115" s="1213">
        <f>IF(AND(DATE(YEAR(H115),MONTH(H115),DAY(1))&lt;&gt;'Datos generales'!$N$10,YEAR($H115)='Datos generales'!$P$10),D115,0)</f>
        <v>0</v>
      </c>
      <c r="Q115" s="1213">
        <f>IF(YEAR($H115)='Datos generales'!$P$10+1,D115,0)</f>
        <v>0</v>
      </c>
      <c r="R115" s="1213">
        <f>IF(YEAR($H115)='Datos generales'!$P$10+2,D115,0)</f>
        <v>0</v>
      </c>
      <c r="S115" s="1214"/>
    </row>
    <row r="116" spans="3:19" x14ac:dyDescent="0.2">
      <c r="C116" s="206"/>
      <c r="D116" s="208"/>
      <c r="E116" s="218"/>
      <c r="F116" s="219"/>
      <c r="G116" s="220">
        <v>5</v>
      </c>
      <c r="H116" s="1069"/>
      <c r="I116" s="1069"/>
      <c r="J116" s="220"/>
      <c r="K116" s="243">
        <f>IF(DATE(YEAR(H116),MONTH(H116),DAY(1))&lt;='Datos generales'!$N$10,D116,0)</f>
        <v>0</v>
      </c>
      <c r="M116" s="1339"/>
      <c r="N116" s="1339"/>
      <c r="O116" s="1339"/>
      <c r="P116" s="1213">
        <f>IF(AND(DATE(YEAR(H116),MONTH(H116),DAY(1))&lt;&gt;'Datos generales'!$N$10,YEAR($H116)='Datos generales'!$P$10),D116,0)</f>
        <v>0</v>
      </c>
      <c r="Q116" s="1213">
        <f>IF(YEAR($H116)='Datos generales'!$P$10+1,D116,0)</f>
        <v>0</v>
      </c>
      <c r="R116" s="1213">
        <f>IF(YEAR($H116)='Datos generales'!$P$10+2,D116,0)</f>
        <v>0</v>
      </c>
      <c r="S116" s="1214"/>
    </row>
    <row r="117" spans="3:19" x14ac:dyDescent="0.2">
      <c r="C117" s="117" t="s">
        <v>261</v>
      </c>
      <c r="D117" s="129">
        <f>SUM(K114:K116)</f>
        <v>0</v>
      </c>
      <c r="E117" s="1265" t="s">
        <v>248</v>
      </c>
      <c r="F117" s="524" t="s">
        <v>262</v>
      </c>
      <c r="H117" s="615" t="s">
        <v>263</v>
      </c>
      <c r="I117" s="525"/>
      <c r="P117" s="1213">
        <f>SUM(P114:P116)</f>
        <v>0</v>
      </c>
      <c r="Q117" s="1213">
        <f>SUM(Q114:Q116)</f>
        <v>0</v>
      </c>
      <c r="R117" s="1213">
        <f>SUM(R114:R116)</f>
        <v>0</v>
      </c>
      <c r="S117" s="1214"/>
    </row>
    <row r="118" spans="3:19" ht="35.25" customHeight="1" x14ac:dyDescent="0.2">
      <c r="C118" s="26" t="s">
        <v>264</v>
      </c>
      <c r="D118" s="243"/>
      <c r="E118" s="612" t="s">
        <v>236</v>
      </c>
      <c r="F118" s="612" t="s">
        <v>237</v>
      </c>
      <c r="G118" s="612" t="s">
        <v>265</v>
      </c>
      <c r="H118" s="612" t="s">
        <v>240</v>
      </c>
      <c r="I118" s="612" t="s">
        <v>266</v>
      </c>
      <c r="M118" s="1266"/>
      <c r="N118" s="1266"/>
      <c r="O118" s="1266"/>
    </row>
    <row r="119" spans="3:19" x14ac:dyDescent="0.2">
      <c r="C119" s="590" t="s">
        <v>267</v>
      </c>
      <c r="D119" s="208"/>
      <c r="E119" s="208"/>
      <c r="F119" s="208"/>
      <c r="G119" s="1069">
        <f>'Datos generales'!$D$10</f>
        <v>43831</v>
      </c>
      <c r="H119" s="1069">
        <f>'Datos generales'!$D$10</f>
        <v>43831</v>
      </c>
      <c r="I119" s="243">
        <f>IF(DATE(YEAR(G119),MONTH(G119),DAY(1))&lt;='Datos generales'!$N$10,D119,0)</f>
        <v>0</v>
      </c>
    </row>
    <row r="120" spans="3:19" x14ac:dyDescent="0.2">
      <c r="C120" s="590" t="s">
        <v>268</v>
      </c>
      <c r="D120" s="208"/>
      <c r="E120" s="208"/>
      <c r="F120" s="208"/>
      <c r="G120" s="1069">
        <f>'Datos generales'!$D$10</f>
        <v>43831</v>
      </c>
      <c r="H120" s="1069">
        <f>'Datos generales'!$D$10</f>
        <v>43831</v>
      </c>
      <c r="I120" s="243">
        <f>IF(DATE(YEAR(G120),MONTH(G120),DAY(1))&lt;='Datos generales'!$N$10,D120,0)</f>
        <v>0</v>
      </c>
    </row>
    <row r="121" spans="3:19" x14ac:dyDescent="0.2">
      <c r="C121" s="117" t="s">
        <v>269</v>
      </c>
      <c r="D121" s="129">
        <f>SUM(I119:I120)</f>
        <v>0</v>
      </c>
      <c r="E121" s="1265" t="s">
        <v>248</v>
      </c>
      <c r="F121" s="524" t="s">
        <v>270</v>
      </c>
      <c r="G121" s="994"/>
      <c r="H121" s="615" t="s">
        <v>271</v>
      </c>
    </row>
    <row r="122" spans="3:19" x14ac:dyDescent="0.2">
      <c r="C122" s="117" t="s">
        <v>272</v>
      </c>
      <c r="D122" s="130">
        <f>D112+D117+D121</f>
        <v>0</v>
      </c>
      <c r="E122" s="589"/>
      <c r="F122" s="607"/>
      <c r="G122" s="14"/>
      <c r="H122" s="7"/>
      <c r="I122" s="7"/>
    </row>
    <row r="123" spans="3:19" ht="13.5" customHeight="1" x14ac:dyDescent="0.2">
      <c r="C123" s="8"/>
      <c r="D123" s="126"/>
      <c r="E123" s="527"/>
      <c r="F123" s="527"/>
      <c r="G123" s="14"/>
      <c r="H123" s="7"/>
      <c r="I123" s="7"/>
    </row>
    <row r="124" spans="3:19" ht="24.75" customHeight="1" x14ac:dyDescent="0.2">
      <c r="C124" s="26" t="s">
        <v>273</v>
      </c>
      <c r="D124" s="1348" t="s">
        <v>176</v>
      </c>
      <c r="E124" s="1243" t="s">
        <v>274</v>
      </c>
      <c r="F124" s="1243" t="s">
        <v>275</v>
      </c>
      <c r="G124" s="221" t="s">
        <v>238</v>
      </c>
      <c r="H124" s="1243" t="s">
        <v>239</v>
      </c>
      <c r="I124" s="1243" t="s">
        <v>240</v>
      </c>
      <c r="J124" s="1243" t="s">
        <v>242</v>
      </c>
    </row>
    <row r="125" spans="3:19" x14ac:dyDescent="0.2">
      <c r="C125" s="26" t="s">
        <v>276</v>
      </c>
      <c r="D125" s="1349"/>
      <c r="E125" s="521"/>
      <c r="F125" s="521"/>
      <c r="G125" s="521"/>
      <c r="H125" s="521"/>
      <c r="I125" s="521"/>
      <c r="J125" s="521"/>
      <c r="K125" s="140"/>
    </row>
    <row r="126" spans="3:19" x14ac:dyDescent="0.2">
      <c r="C126" s="206" t="s">
        <v>245</v>
      </c>
      <c r="D126" s="208"/>
      <c r="E126" s="206"/>
      <c r="F126" s="225" t="s">
        <v>277</v>
      </c>
      <c r="G126" s="220">
        <v>5</v>
      </c>
      <c r="H126" s="1069">
        <f>'Datos generales'!$D$10</f>
        <v>43831</v>
      </c>
      <c r="I126" s="1069">
        <f>'Datos generales'!$D$10</f>
        <v>43831</v>
      </c>
      <c r="J126" s="243">
        <f>IF(DATE(YEAR(H126),MONTH(H126),DAY(1))&lt;='Datos generales'!$N$10,D126,0)</f>
        <v>0</v>
      </c>
      <c r="K126" s="9"/>
    </row>
    <row r="127" spans="3:19" x14ac:dyDescent="0.2">
      <c r="C127" s="206" t="s">
        <v>246</v>
      </c>
      <c r="D127" s="208"/>
      <c r="E127" s="206"/>
      <c r="F127" s="225" t="s">
        <v>277</v>
      </c>
      <c r="G127" s="220">
        <v>5</v>
      </c>
      <c r="H127" s="1069">
        <f>'Datos generales'!$D$10</f>
        <v>43831</v>
      </c>
      <c r="I127" s="1069">
        <f>'Datos generales'!$D$10</f>
        <v>43831</v>
      </c>
      <c r="J127" s="243">
        <f>IF(DATE(YEAR(H127),MONTH(H127),DAY(1))&lt;='Datos generales'!$N$10,D127,0)</f>
        <v>0</v>
      </c>
      <c r="K127" s="9"/>
    </row>
    <row r="128" spans="3:19" x14ac:dyDescent="0.2">
      <c r="C128" s="206"/>
      <c r="D128" s="208"/>
      <c r="E128" s="206"/>
      <c r="F128" s="225"/>
      <c r="G128" s="220">
        <v>5</v>
      </c>
      <c r="H128" s="1069"/>
      <c r="I128" s="1069"/>
      <c r="J128" s="243">
        <f>IF(DATE(YEAR(H128),MONTH(H128),DAY(1))&lt;='Datos generales'!$N$10,D128,0)</f>
        <v>0</v>
      </c>
      <c r="K128" s="9"/>
    </row>
    <row r="129" spans="3:11" x14ac:dyDescent="0.2">
      <c r="C129" s="117" t="s">
        <v>278</v>
      </c>
      <c r="D129" s="129">
        <f>SUM(J126:J128)</f>
        <v>0</v>
      </c>
      <c r="E129" s="1265" t="s">
        <v>248</v>
      </c>
      <c r="F129" s="524" t="s">
        <v>249</v>
      </c>
      <c r="H129" s="615" t="s">
        <v>279</v>
      </c>
      <c r="I129" s="7"/>
      <c r="J129" s="7"/>
      <c r="K129" s="7"/>
    </row>
    <row r="130" spans="3:11" x14ac:dyDescent="0.2">
      <c r="C130" s="26" t="s">
        <v>280</v>
      </c>
      <c r="E130" s="108"/>
      <c r="G130" s="108"/>
      <c r="H130" s="7"/>
      <c r="I130" s="7"/>
      <c r="J130" s="7"/>
      <c r="K130" s="7"/>
    </row>
    <row r="131" spans="3:11" x14ac:dyDescent="0.2">
      <c r="C131" s="206"/>
      <c r="D131" s="208"/>
      <c r="E131" s="529"/>
      <c r="F131" s="526"/>
      <c r="G131" s="7"/>
      <c r="H131" s="7"/>
      <c r="I131" s="7"/>
      <c r="J131" s="7"/>
      <c r="K131" s="7"/>
    </row>
    <row r="132" spans="3:11" x14ac:dyDescent="0.2">
      <c r="C132" s="206"/>
      <c r="D132" s="208"/>
      <c r="E132" s="529"/>
      <c r="F132" s="526"/>
      <c r="G132" s="7"/>
      <c r="H132" s="7"/>
      <c r="I132" s="7"/>
      <c r="J132" s="7"/>
      <c r="K132" s="7"/>
    </row>
    <row r="133" spans="3:11" x14ac:dyDescent="0.2">
      <c r="C133" s="206"/>
      <c r="D133" s="208"/>
      <c r="E133" s="529"/>
      <c r="F133" s="526"/>
      <c r="G133" s="7"/>
      <c r="H133" s="7"/>
      <c r="I133" s="7"/>
      <c r="J133" s="7"/>
      <c r="K133" s="7"/>
    </row>
    <row r="134" spans="3:11" x14ac:dyDescent="0.2">
      <c r="C134" s="117" t="s">
        <v>281</v>
      </c>
      <c r="D134" s="129">
        <f>SUM(D131:D133)</f>
        <v>0</v>
      </c>
      <c r="E134" s="528"/>
      <c r="G134" s="7"/>
      <c r="H134" s="7"/>
      <c r="I134" s="7"/>
      <c r="J134" s="7"/>
      <c r="K134" s="7"/>
    </row>
    <row r="135" spans="3:11" x14ac:dyDescent="0.2">
      <c r="C135" s="26" t="s">
        <v>282</v>
      </c>
      <c r="D135" s="241"/>
      <c r="E135" s="528"/>
      <c r="G135" s="7"/>
      <c r="H135" s="7"/>
      <c r="I135" s="7"/>
      <c r="J135" s="7"/>
      <c r="K135" s="7"/>
    </row>
    <row r="136" spans="3:11" x14ac:dyDescent="0.2">
      <c r="C136" s="578" t="s">
        <v>283</v>
      </c>
      <c r="D136" s="208"/>
      <c r="E136" s="529"/>
      <c r="G136" s="7"/>
      <c r="H136" s="7"/>
      <c r="I136" s="7"/>
      <c r="J136" s="7"/>
      <c r="K136" s="7"/>
    </row>
    <row r="137" spans="3:11" x14ac:dyDescent="0.2">
      <c r="C137" s="578" t="s">
        <v>284</v>
      </c>
      <c r="D137" s="208"/>
      <c r="E137" s="529"/>
      <c r="F137" s="526"/>
      <c r="G137" s="108"/>
      <c r="H137" s="7"/>
      <c r="I137" s="7"/>
      <c r="J137" s="7"/>
      <c r="K137" s="7"/>
    </row>
    <row r="138" spans="3:11" x14ac:dyDescent="0.2">
      <c r="C138" s="117" t="s">
        <v>285</v>
      </c>
      <c r="D138" s="130">
        <f>D129+D134+D136+D137</f>
        <v>0</v>
      </c>
      <c r="E138" s="13"/>
      <c r="F138" s="7"/>
      <c r="G138" s="7"/>
      <c r="H138" s="7"/>
      <c r="I138" s="7"/>
      <c r="J138" s="7"/>
      <c r="K138" s="7"/>
    </row>
    <row r="139" spans="3:11" ht="15" x14ac:dyDescent="0.25">
      <c r="C139" s="122" t="s">
        <v>286</v>
      </c>
      <c r="D139" s="131">
        <f>D122+D138</f>
        <v>0</v>
      </c>
      <c r="E139" s="13"/>
      <c r="F139" s="7"/>
      <c r="G139" s="7"/>
      <c r="H139" s="7"/>
      <c r="I139" s="7"/>
      <c r="J139" s="7"/>
      <c r="K139" s="7"/>
    </row>
    <row r="140" spans="3:11" ht="29.25" customHeight="1" thickBot="1" x14ac:dyDescent="0.25">
      <c r="C140" s="1"/>
      <c r="D140" s="61"/>
      <c r="E140" s="13"/>
      <c r="F140" s="7"/>
      <c r="G140" s="7"/>
      <c r="H140" s="7"/>
      <c r="I140" s="7"/>
      <c r="J140" s="7"/>
      <c r="K140" s="7"/>
    </row>
    <row r="141" spans="3:11" ht="19.5" thickTop="1" thickBot="1" x14ac:dyDescent="0.3">
      <c r="C141" s="134" t="s">
        <v>287</v>
      </c>
      <c r="D141" s="135">
        <f>D104+D139</f>
        <v>0</v>
      </c>
      <c r="E141" s="14"/>
      <c r="F141" s="7"/>
      <c r="G141" s="7"/>
      <c r="H141" s="7"/>
      <c r="I141" s="7"/>
      <c r="J141" s="7"/>
      <c r="K141" s="7"/>
    </row>
    <row r="142" spans="3:11" ht="11.25" customHeight="1" thickTop="1" x14ac:dyDescent="0.25">
      <c r="C142" s="2"/>
      <c r="D142" s="59"/>
      <c r="E142" s="14"/>
      <c r="F142" s="7"/>
      <c r="G142" s="7"/>
      <c r="H142" s="7"/>
      <c r="I142" s="7"/>
      <c r="J142" s="7"/>
      <c r="K142" s="7"/>
    </row>
    <row r="143" spans="3:11" ht="15.75" x14ac:dyDescent="0.25">
      <c r="C143" s="136" t="s">
        <v>288</v>
      </c>
      <c r="D143" s="137">
        <f>IF(D141&lt;D91,D141-D91,0)</f>
        <v>0</v>
      </c>
      <c r="E143" s="9"/>
      <c r="F143" s="7"/>
      <c r="G143" s="7"/>
      <c r="H143" s="7"/>
      <c r="I143" s="7"/>
      <c r="J143" s="7"/>
      <c r="K143" s="7"/>
    </row>
    <row r="144" spans="3:11" x14ac:dyDescent="0.2">
      <c r="D144" s="9"/>
      <c r="E144" s="9"/>
      <c r="F144" s="7"/>
      <c r="G144" s="7"/>
      <c r="H144" s="7"/>
      <c r="I144" s="7"/>
      <c r="J144" s="7"/>
      <c r="K144" s="7"/>
    </row>
    <row r="145" spans="3:4" ht="15.75" x14ac:dyDescent="0.25">
      <c r="C145" s="136" t="s">
        <v>289</v>
      </c>
      <c r="D145" s="137">
        <f>IF(TESORERIA!C35&gt;=0,0,TESORERIA!C35)</f>
        <v>0</v>
      </c>
    </row>
    <row r="147" spans="3:4" ht="33.75" customHeight="1" x14ac:dyDescent="0.2"/>
  </sheetData>
  <sheetProtection password="CC4B" sheet="1"/>
  <mergeCells count="16">
    <mergeCell ref="M113:O116"/>
    <mergeCell ref="B5:H18"/>
    <mergeCell ref="D124:D125"/>
    <mergeCell ref="J107:J108"/>
    <mergeCell ref="D97:D98"/>
    <mergeCell ref="E97:E98"/>
    <mergeCell ref="F97:F98"/>
    <mergeCell ref="G97:G98"/>
    <mergeCell ref="I101:O104"/>
    <mergeCell ref="E25:E26"/>
    <mergeCell ref="C25:C26"/>
    <mergeCell ref="H25:H26"/>
    <mergeCell ref="F25:F26"/>
    <mergeCell ref="G25:G26"/>
    <mergeCell ref="D107:D108"/>
    <mergeCell ref="G78:M83"/>
  </mergeCells>
  <phoneticPr fontId="0" type="noConversion"/>
  <dataValidations count="28">
    <dataValidation type="date" operator="greaterThanOrEqual" allowBlank="1" showInputMessage="1" showErrorMessage="1" error="Debe poner una fecha posterior a la de disposición del préstamo." sqref="I112 I126 I117 I122:I123" xr:uid="{00000000-0002-0000-0400-000000000000}">
      <formula1>H112</formula1>
    </dataValidation>
    <dataValidation type="custom" allowBlank="1" showInputMessage="1" showErrorMessage="1" error="¡ATENCION! Ha reseñado contratos de arrendamiento financiero por importe superior a la inversión inicial en inmovilizado material. Esto puede originar descuadres contables" sqref="D117:D118" xr:uid="{00000000-0002-0000-0400-000001000000}">
      <formula1>D117&gt;D40</formula1>
    </dataValidation>
    <dataValidation type="custom" allowBlank="1" showInputMessage="1" showErrorMessage="1" error="No es posible que existan Acreedores Comerciales si no ha reflejado previamente la compra de existencias iniciales." sqref="D131" xr:uid="{00000000-0002-0000-0400-000002000000}">
      <formula1>D89&gt;=D134</formula1>
    </dataValidation>
    <dataValidation type="custom" allowBlank="1" showInputMessage="1" showErrorMessage="1" error="No es posible que existan Acreedores Comerciales si no ha reflejado previamente la compra de existencias iniciales." sqref="D132" xr:uid="{00000000-0002-0000-0400-000003000000}">
      <formula1>D89&gt;=D134</formula1>
    </dataValidation>
    <dataValidation type="custom" allowBlank="1" showInputMessage="1" showErrorMessage="1" error="No es posible que existan Acreedores Comerciales si no ha reflejado previamente la compra de existencias iniciales." sqref="D133" xr:uid="{00000000-0002-0000-0400-000004000000}">
      <formula1>D89&gt;=D134</formula1>
    </dataValidation>
    <dataValidation type="custom" allowBlank="1" showInputMessage="1" showErrorMessage="1" error="No puede indicar aportaciones no dinerarias por importe superior a la suma de las inversiones." sqref="E100:G100" xr:uid="{00000000-0002-0000-0400-000005000000}">
      <formula1>E100&lt;=F40+F55</formula1>
    </dataValidation>
    <dataValidation type="custom" allowBlank="1" showInputMessage="1" showErrorMessage="1" error="No puede indicar aportaciones no dinerarias por importe superior a la suma de las inversiones más las existencias iniciales aportadas por los socios." sqref="D100" xr:uid="{00000000-0002-0000-0400-000006000000}">
      <formula1>D100&lt;=D63+G93</formula1>
    </dataValidation>
    <dataValidation type="custom" allowBlank="1" showInputMessage="1" showErrorMessage="1" error="¡ATENCION! Ha reseñado contratos de arrendamiento financiero por importe superior a la inversión  en inmovilizado material. Esto puede originar descuadres contables" sqref="D114" xr:uid="{00000000-0002-0000-0400-000007000000}">
      <formula1>AND(D117&lt;=D40,P117&lt;=F40,Q117&lt;=G40,R117&lt;=H40)</formula1>
    </dataValidation>
    <dataValidation type="custom" allowBlank="1" showInputMessage="1" showErrorMessage="1" error="¡ATENCION! Ha reseñado contratos de arrendamiento financiero por importe superior a la inversión  en inmovilizado material. Esto puede originar descuadres contables" sqref="D116" xr:uid="{00000000-0002-0000-0400-000008000000}">
      <formula1>AND(D117&lt;=D40,P117&lt;=F40,Q117&lt;=G40,R117&lt;=H40)</formula1>
    </dataValidation>
    <dataValidation type="custom" allowBlank="1" showInputMessage="1" showErrorMessage="1" error="¡ATENCION! Ha reseñado contratos de arrendamiento financiero por importe superior a la inversión  en inmovilizado material. Esto puede originar descuadres contables" sqref="D115" xr:uid="{00000000-0002-0000-0400-000009000000}">
      <formula1>AND(D117&lt;=D40,P117&lt;=F40,Q117&lt;=G40,R117&lt;=H40)</formula1>
    </dataValidation>
    <dataValidation type="date" allowBlank="1" showInputMessage="1" showErrorMessage="1" error="El informe solo es a tres años, por lo que debe introducir una fecha  entre la de inicio de actividad y que no sea posterior a diciembre del tercer año._x000a_" sqref="I127:I128 H114:I116 H122:H123 H126:H128 H109:I111 G119:H120" xr:uid="{00000000-0002-0000-0400-00000A000000}">
      <formula1>$D$1</formula1>
      <formula2>$F$1</formula2>
    </dataValidation>
    <dataValidation type="list" allowBlank="1" showInputMessage="1" showErrorMessage="1" error="Debe introducir el número de cuotas que pagará anualmente" sqref="F126:F128" xr:uid="{00000000-0002-0000-0400-00000B000000}">
      <formula1>"Anuales,Semestrales,Cuatrimestrales,Trimestrales,Bimensuales,Mensuales"</formula1>
    </dataValidation>
    <dataValidation type="whole" allowBlank="1" showInputMessage="1" showErrorMessage="1" error="Si el plazo es superior a 12 meses, debe considerar este préstamo en el apartado de a Largo Plazo" sqref="E126:E128" xr:uid="{00000000-0002-0000-0400-00000C000000}">
      <formula1>1</formula1>
      <formula2>12</formula2>
    </dataValidation>
    <dataValidation type="whole" allowBlank="1" showInputMessage="1" showErrorMessage="1" error="Debe introducir el número de cuotas que pagará anualmente" sqref="F114:F116 F109:F111" xr:uid="{00000000-0002-0000-0400-00000D000000}">
      <formula1>1</formula1>
      <formula2>12</formula2>
    </dataValidation>
    <dataValidation type="decimal" allowBlank="1" showInputMessage="1" showErrorMessage="1" error="Los préstamos a un año o menos deben reseñarse en el apartado de préstamos a corto plazo." sqref="E109:E111" xr:uid="{00000000-0002-0000-0400-00000E000000}">
      <formula1>1.1</formula1>
      <formula2>99</formula2>
    </dataValidation>
    <dataValidation allowBlank="1" showInputMessage="1" showErrorMessage="1" error="El informe solo es a tres años, por lo que debe introducir una fecha  entre la de inicio de actividad y que no sea posterior a diciembre del tercer año._x000a_" sqref="H129 H112 H117 H121" xr:uid="{00000000-0002-0000-0400-00000F000000}"/>
    <dataValidation type="decimal" allowBlank="1" showInputMessage="1" showErrorMessage="1" sqref="D99" xr:uid="{00000000-0002-0000-0400-000010000000}">
      <formula1>0</formula1>
      <formula2>999999999999999</formula2>
    </dataValidation>
    <dataValidation type="decimal" allowBlank="1" showInputMessage="1" showErrorMessage="1" sqref="D109:D111" xr:uid="{00000000-0002-0000-0400-000011000000}">
      <formula1>0</formula1>
      <formula2>999999999999</formula2>
    </dataValidation>
    <dataValidation type="decimal" allowBlank="1" showInputMessage="1" showErrorMessage="1" error="Debe incluir un porcentaje. Si el préstamo fuera sin intereses, reséñelo en Otros acreedores." sqref="G114:G116 G109:G111 G126:G128" xr:uid="{00000000-0002-0000-0400-000012000000}">
      <formula1>0.1</formula1>
      <formula2>100</formula2>
    </dataValidation>
    <dataValidation type="decimal" allowBlank="1" showInputMessage="1" showErrorMessage="1" error="Introduzca el plazo de pago en años" sqref="E114:E116" xr:uid="{00000000-0002-0000-0400-000013000000}">
      <formula1>0</formula1>
      <formula2>99</formula2>
    </dataValidation>
    <dataValidation type="decimal" allowBlank="1" showInputMessage="1" showErrorMessage="1" sqref="D57:D60 D42:D50 D28:H39 F42:H50 F58:H60 D66:D74 D102:G103 E99:G99" xr:uid="{00000000-0002-0000-0400-000014000000}">
      <formula1>0</formula1>
      <formula2>100000000</formula2>
    </dataValidation>
    <dataValidation type="decimal" allowBlank="1" showInputMessage="1" showErrorMessage="1" sqref="D51:D54 E42:E54 F51:H54" xr:uid="{00000000-0002-0000-0400-000015000000}">
      <formula1>0</formula1>
      <formula2>99999999999999</formula2>
    </dataValidation>
    <dataValidation type="decimal" allowBlank="1" showInputMessage="1" showErrorMessage="1" sqref="E57:E60 F57:H57" xr:uid="{00000000-0002-0000-0400-000016000000}">
      <formula1>0</formula1>
      <formula2>9999999999999990</formula2>
    </dataValidation>
    <dataValidation type="whole" allowBlank="1" showInputMessage="1" showErrorMessage="1" error="Debe indicar el número de meses de carencia sin sobrepasar los tres años del informe" sqref="J109:J111" xr:uid="{00000000-0002-0000-0400-000017000000}">
      <formula1>0</formula1>
      <formula2>36</formula2>
    </dataValidation>
    <dataValidation type="whole" allowBlank="1" showInputMessage="1" showErrorMessage="1" error="Si el plazo es superior a 12 meses, debe considerar esta deuda en el apartado de a Largo Plazo" sqref="E136:E137" xr:uid="{00000000-0002-0000-0400-000018000000}">
      <formula1>1</formula1>
      <formula2>12</formula2>
    </dataValidation>
    <dataValidation operator="greaterThanOrEqual" allowBlank="1" showInputMessage="1" showErrorMessage="1" error="Debe poner una fecha posterior a la de disposición del préstamo." sqref="I119:I120" xr:uid="{00000000-0002-0000-0400-000019000000}"/>
    <dataValidation type="whole" allowBlank="1" showInputMessage="1" showErrorMessage="1" error="Debe introducir el número ce cuotas que pagará anualmente (máximo 12)" sqref="F119" xr:uid="{00000000-0002-0000-0400-00001A000000}">
      <formula1>0</formula1>
      <formula2>12</formula2>
    </dataValidation>
    <dataValidation type="whole" allowBlank="1" showInputMessage="1" showErrorMessage="1" error="Debe introducir el número de cuotas que pagará anualmente (máximo 12)" sqref="F120" xr:uid="{00000000-0002-0000-0400-00001B000000}">
      <formula1>0</formula1>
      <formula2>12</formula2>
    </dataValidation>
  </dataValidations>
  <pageMargins left="0.75" right="0.75" top="1" bottom="1" header="0" footer="0"/>
  <pageSetup paperSize="9" orientation="portrait" horizontalDpi="200" verticalDpi="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FFFF00"/>
  </sheetPr>
  <dimension ref="A2:V68"/>
  <sheetViews>
    <sheetView showGridLines="0" zoomScaleNormal="100" workbookViewId="0">
      <selection activeCell="O6" sqref="O6"/>
    </sheetView>
  </sheetViews>
  <sheetFormatPr baseColWidth="10" defaultColWidth="11.42578125" defaultRowHeight="12.75" x14ac:dyDescent="0.2"/>
  <cols>
    <col min="2" max="2" width="35.140625" customWidth="1"/>
    <col min="15" max="15" width="12.28515625" customWidth="1"/>
    <col min="16" max="16" width="8.42578125" customWidth="1"/>
    <col min="17" max="17" width="8.28515625" customWidth="1"/>
    <col min="18" max="18" width="11.85546875" customWidth="1"/>
    <col min="19" max="19" width="7.140625" hidden="1" customWidth="1"/>
    <col min="20" max="20" width="6.140625" hidden="1" customWidth="1"/>
    <col min="21" max="21" width="7" hidden="1" customWidth="1"/>
    <col min="22" max="22" width="6.140625" hidden="1" customWidth="1"/>
  </cols>
  <sheetData>
    <row r="2" spans="1:22" ht="13.5" hidden="1" thickBot="1" x14ac:dyDescent="0.25">
      <c r="E2" s="823" t="s">
        <v>111</v>
      </c>
      <c r="F2" s="824" t="s">
        <v>112</v>
      </c>
      <c r="G2" s="824" t="s">
        <v>113</v>
      </c>
    </row>
    <row r="3" spans="1:22" ht="13.5" hidden="1" thickBot="1" x14ac:dyDescent="0.25">
      <c r="E3" s="825">
        <f>'Datos generales'!$D$10</f>
        <v>43831</v>
      </c>
      <c r="F3" s="826">
        <f>MONTH(E3)</f>
        <v>1</v>
      </c>
      <c r="G3" s="826">
        <f>YEAR(E3)</f>
        <v>2020</v>
      </c>
    </row>
    <row r="6" spans="1:22" ht="142.5" customHeight="1" x14ac:dyDescent="0.2">
      <c r="B6" s="1355" t="s">
        <v>290</v>
      </c>
      <c r="C6" s="1356"/>
      <c r="D6" s="1356"/>
      <c r="E6" s="1356"/>
      <c r="F6" s="1356"/>
      <c r="G6" s="1356"/>
      <c r="H6" s="1356"/>
      <c r="I6" s="1356"/>
      <c r="J6" s="1356"/>
      <c r="K6" s="1356"/>
      <c r="L6" s="1357"/>
    </row>
    <row r="9" spans="1:22" ht="15.75" x14ac:dyDescent="0.25">
      <c r="A9" s="7"/>
      <c r="B9" s="138" t="s">
        <v>291</v>
      </c>
      <c r="C9" s="7"/>
      <c r="D9" s="9"/>
      <c r="E9" s="7"/>
      <c r="F9" s="7"/>
      <c r="G9" s="7"/>
      <c r="H9" s="7"/>
      <c r="I9" s="7"/>
      <c r="J9" s="7"/>
      <c r="K9" s="7"/>
      <c r="L9" s="7"/>
      <c r="M9" s="7"/>
      <c r="N9" s="7"/>
      <c r="O9" s="7"/>
      <c r="P9" s="7"/>
      <c r="Q9" s="7"/>
      <c r="R9" s="7"/>
    </row>
    <row r="10" spans="1:22" ht="15.75" thickBot="1" x14ac:dyDescent="0.25">
      <c r="A10" s="7"/>
      <c r="B10" s="8"/>
      <c r="C10" s="1211" t="s">
        <v>292</v>
      </c>
      <c r="D10" s="9"/>
      <c r="E10" s="7"/>
      <c r="F10" s="7"/>
      <c r="G10" s="7"/>
      <c r="H10" s="7"/>
      <c r="I10" s="7"/>
      <c r="J10" s="7"/>
      <c r="K10" s="7"/>
      <c r="L10" s="7"/>
      <c r="M10" s="7"/>
      <c r="N10" s="7"/>
      <c r="O10" s="7"/>
      <c r="P10" s="105" t="s">
        <v>293</v>
      </c>
      <c r="Q10" s="105" t="s">
        <v>293</v>
      </c>
      <c r="R10" s="1308" t="s">
        <v>294</v>
      </c>
    </row>
    <row r="11" spans="1:22" ht="13.5" thickBot="1" x14ac:dyDescent="0.25">
      <c r="A11" s="7"/>
      <c r="B11" s="530" t="s">
        <v>295</v>
      </c>
      <c r="C11" s="105" t="s">
        <v>296</v>
      </c>
      <c r="D11" s="20" t="s">
        <v>297</v>
      </c>
      <c r="E11" s="105" t="s">
        <v>298</v>
      </c>
      <c r="F11" s="105" t="s">
        <v>120</v>
      </c>
      <c r="G11" s="105" t="s">
        <v>121</v>
      </c>
      <c r="H11" s="105" t="s">
        <v>122</v>
      </c>
      <c r="I11" s="105" t="s">
        <v>123</v>
      </c>
      <c r="J11" s="105" t="s">
        <v>299</v>
      </c>
      <c r="K11" s="105" t="s">
        <v>300</v>
      </c>
      <c r="L11" s="105" t="s">
        <v>301</v>
      </c>
      <c r="M11" s="105" t="s">
        <v>302</v>
      </c>
      <c r="N11" s="105" t="s">
        <v>303</v>
      </c>
      <c r="O11" s="1241" t="s">
        <v>129</v>
      </c>
      <c r="P11" s="105" t="s">
        <v>304</v>
      </c>
      <c r="Q11" s="105" t="s">
        <v>305</v>
      </c>
      <c r="R11" s="1309"/>
    </row>
    <row r="12" spans="1:22" ht="13.5" thickBot="1" x14ac:dyDescent="0.25">
      <c r="A12" s="7"/>
      <c r="B12" s="26" t="s">
        <v>306</v>
      </c>
      <c r="R12" s="7"/>
      <c r="S12" s="826" t="s">
        <v>307</v>
      </c>
      <c r="T12" s="826"/>
      <c r="U12" s="826" t="s">
        <v>113</v>
      </c>
      <c r="V12" s="826"/>
    </row>
    <row r="13" spans="1:22" ht="13.5" thickBot="1" x14ac:dyDescent="0.25">
      <c r="A13" s="7"/>
      <c r="B13" s="553" t="str">
        <f>'Entrada Inver_Finan'!C67</f>
        <v>Formación del personal</v>
      </c>
      <c r="C13" s="208"/>
      <c r="D13" s="208"/>
      <c r="E13" s="208"/>
      <c r="F13" s="208"/>
      <c r="G13" s="208"/>
      <c r="H13" s="208"/>
      <c r="I13" s="208"/>
      <c r="J13" s="208"/>
      <c r="K13" s="208"/>
      <c r="L13" s="208"/>
      <c r="M13" s="208"/>
      <c r="N13" s="208"/>
      <c r="O13" s="241">
        <f t="shared" ref="O13:O19" si="0">SUM(C13:N13)</f>
        <v>0</v>
      </c>
      <c r="P13" s="273">
        <v>0.02</v>
      </c>
      <c r="Q13" s="273">
        <v>0.02</v>
      </c>
      <c r="R13" s="7"/>
      <c r="S13" s="826"/>
      <c r="T13" s="826"/>
      <c r="U13" s="826"/>
      <c r="V13" s="826"/>
    </row>
    <row r="14" spans="1:22" ht="13.5" thickBot="1" x14ac:dyDescent="0.25">
      <c r="A14" s="7"/>
      <c r="B14" s="206" t="s">
        <v>308</v>
      </c>
      <c r="C14" s="208"/>
      <c r="D14" s="208"/>
      <c r="E14" s="208"/>
      <c r="F14" s="208"/>
      <c r="G14" s="208"/>
      <c r="H14" s="208"/>
      <c r="I14" s="208"/>
      <c r="J14" s="208"/>
      <c r="K14" s="208"/>
      <c r="L14" s="208"/>
      <c r="M14" s="208"/>
      <c r="N14" s="208"/>
      <c r="O14" s="241">
        <f>SUM(C14:N14)</f>
        <v>0</v>
      </c>
      <c r="P14" s="273">
        <v>0.02</v>
      </c>
      <c r="Q14" s="273">
        <v>0.02</v>
      </c>
      <c r="R14" s="821">
        <f>'Datos generales'!$D$10</f>
        <v>43831</v>
      </c>
      <c r="S14" s="827">
        <f>MONTH(R14)</f>
        <v>1</v>
      </c>
      <c r="T14" s="826">
        <f>S14+V14*12</f>
        <v>1</v>
      </c>
      <c r="U14" s="826">
        <f>YEAR(R14)</f>
        <v>2020</v>
      </c>
      <c r="V14" s="826">
        <f>U14-$G$3</f>
        <v>0</v>
      </c>
    </row>
    <row r="15" spans="1:22" ht="13.5" thickBot="1" x14ac:dyDescent="0.25">
      <c r="A15" s="7"/>
      <c r="B15" s="206" t="s">
        <v>309</v>
      </c>
      <c r="C15" s="208"/>
      <c r="D15" s="208"/>
      <c r="E15" s="208"/>
      <c r="F15" s="208"/>
      <c r="G15" s="208"/>
      <c r="H15" s="208"/>
      <c r="I15" s="208"/>
      <c r="J15" s="208"/>
      <c r="K15" s="208"/>
      <c r="L15" s="208"/>
      <c r="M15" s="208"/>
      <c r="N15" s="208"/>
      <c r="O15" s="241">
        <f>SUM(C15:N15)</f>
        <v>0</v>
      </c>
      <c r="P15" s="273">
        <v>0.02</v>
      </c>
      <c r="Q15" s="273">
        <v>0.02</v>
      </c>
      <c r="R15" s="821">
        <f>'Datos generales'!$D$10</f>
        <v>43831</v>
      </c>
      <c r="S15" s="827">
        <f>MONTH(R15)</f>
        <v>1</v>
      </c>
      <c r="T15" s="826">
        <f>S15+V15*12</f>
        <v>1</v>
      </c>
      <c r="U15" s="826">
        <f>YEAR(R15)</f>
        <v>2020</v>
      </c>
      <c r="V15" s="826">
        <f>U15-$G$3</f>
        <v>0</v>
      </c>
    </row>
    <row r="16" spans="1:22" ht="13.5" thickBot="1" x14ac:dyDescent="0.25">
      <c r="A16" s="7"/>
      <c r="B16" s="206"/>
      <c r="C16" s="208"/>
      <c r="D16" s="208"/>
      <c r="E16" s="208"/>
      <c r="F16" s="208"/>
      <c r="G16" s="208"/>
      <c r="H16" s="208"/>
      <c r="I16" s="208"/>
      <c r="J16" s="208"/>
      <c r="K16" s="208"/>
      <c r="L16" s="208"/>
      <c r="M16" s="208"/>
      <c r="N16" s="208"/>
      <c r="O16" s="241">
        <f>SUM(C16:N16)</f>
        <v>0</v>
      </c>
      <c r="P16" s="273">
        <v>0.02</v>
      </c>
      <c r="Q16" s="273">
        <v>0.02</v>
      </c>
      <c r="R16" s="821">
        <f>'Datos generales'!$D$10</f>
        <v>43831</v>
      </c>
      <c r="S16" s="827">
        <f>MONTH(R16)</f>
        <v>1</v>
      </c>
      <c r="T16" s="826">
        <f>S16+V16*12</f>
        <v>1</v>
      </c>
      <c r="U16" s="826">
        <f>YEAR(R16)</f>
        <v>2020</v>
      </c>
      <c r="V16" s="826">
        <f>U16-$G$3</f>
        <v>0</v>
      </c>
    </row>
    <row r="17" spans="1:22" ht="13.5" thickBot="1" x14ac:dyDescent="0.25">
      <c r="A17" s="7"/>
      <c r="B17" s="206"/>
      <c r="C17" s="208"/>
      <c r="D17" s="208"/>
      <c r="E17" s="208"/>
      <c r="F17" s="208"/>
      <c r="G17" s="208"/>
      <c r="H17" s="208"/>
      <c r="I17" s="208"/>
      <c r="J17" s="208"/>
      <c r="K17" s="208"/>
      <c r="L17" s="208"/>
      <c r="M17" s="208"/>
      <c r="N17" s="208"/>
      <c r="O17" s="241">
        <f>SUM(C17:N17)</f>
        <v>0</v>
      </c>
      <c r="P17" s="273">
        <v>0.02</v>
      </c>
      <c r="Q17" s="273">
        <v>0.02</v>
      </c>
      <c r="R17" s="821">
        <f>'Datos generales'!$D$10</f>
        <v>43831</v>
      </c>
      <c r="S17" s="827">
        <f>MONTH(R17)</f>
        <v>1</v>
      </c>
      <c r="T17" s="826">
        <f>S17+V17*12</f>
        <v>1</v>
      </c>
      <c r="U17" s="826">
        <f>YEAR(R17)</f>
        <v>2020</v>
      </c>
      <c r="V17" s="826">
        <f>U17-$G$3</f>
        <v>0</v>
      </c>
    </row>
    <row r="18" spans="1:22" ht="13.5" thickBot="1" x14ac:dyDescent="0.25">
      <c r="A18" s="7"/>
      <c r="B18" s="206"/>
      <c r="C18" s="208"/>
      <c r="D18" s="208"/>
      <c r="E18" s="208"/>
      <c r="F18" s="208"/>
      <c r="G18" s="208"/>
      <c r="H18" s="208"/>
      <c r="I18" s="208"/>
      <c r="J18" s="208"/>
      <c r="K18" s="208"/>
      <c r="L18" s="208"/>
      <c r="M18" s="208"/>
      <c r="N18" s="208"/>
      <c r="O18" s="241">
        <f t="shared" si="0"/>
        <v>0</v>
      </c>
      <c r="P18" s="273">
        <v>0.02</v>
      </c>
      <c r="Q18" s="273">
        <v>0.02</v>
      </c>
      <c r="R18" s="821">
        <f>'Datos generales'!$D$10</f>
        <v>43831</v>
      </c>
      <c r="S18" s="827">
        <f>MONTH(R18)</f>
        <v>1</v>
      </c>
      <c r="T18" s="826">
        <f>S18+V18*12</f>
        <v>1</v>
      </c>
      <c r="U18" s="826">
        <f>YEAR(R18)</f>
        <v>2020</v>
      </c>
      <c r="V18" s="826">
        <f>U18-$G$3</f>
        <v>0</v>
      </c>
    </row>
    <row r="19" spans="1:22" x14ac:dyDescent="0.2">
      <c r="A19" s="7"/>
      <c r="B19" s="531" t="s">
        <v>310</v>
      </c>
      <c r="C19" s="129">
        <f t="shared" ref="C19:N19" si="1">SUM(C13:C18)</f>
        <v>0</v>
      </c>
      <c r="D19" s="129">
        <f>SUM(D13:D18)</f>
        <v>0</v>
      </c>
      <c r="E19" s="129">
        <f t="shared" si="1"/>
        <v>0</v>
      </c>
      <c r="F19" s="129">
        <f t="shared" si="1"/>
        <v>0</v>
      </c>
      <c r="G19" s="129">
        <f t="shared" si="1"/>
        <v>0</v>
      </c>
      <c r="H19" s="129">
        <f t="shared" si="1"/>
        <v>0</v>
      </c>
      <c r="I19" s="129">
        <f t="shared" si="1"/>
        <v>0</v>
      </c>
      <c r="J19" s="129">
        <f t="shared" si="1"/>
        <v>0</v>
      </c>
      <c r="K19" s="129">
        <f t="shared" si="1"/>
        <v>0</v>
      </c>
      <c r="L19" s="129">
        <f t="shared" si="1"/>
        <v>0</v>
      </c>
      <c r="M19" s="129">
        <f t="shared" si="1"/>
        <v>0</v>
      </c>
      <c r="N19" s="129">
        <f t="shared" si="1"/>
        <v>0</v>
      </c>
      <c r="O19" s="129">
        <f t="shared" si="0"/>
        <v>0</v>
      </c>
      <c r="P19" s="511"/>
      <c r="Q19" s="511"/>
      <c r="R19" s="7"/>
    </row>
    <row r="20" spans="1:22" x14ac:dyDescent="0.2">
      <c r="A20" s="7"/>
      <c r="B20" s="26" t="s">
        <v>311</v>
      </c>
      <c r="P20" s="551"/>
      <c r="Q20" s="551"/>
      <c r="R20" s="7"/>
    </row>
    <row r="21" spans="1:22" x14ac:dyDescent="0.2">
      <c r="A21" s="7"/>
      <c r="B21" s="206" t="s">
        <v>312</v>
      </c>
      <c r="C21" s="208"/>
      <c r="D21" s="208"/>
      <c r="E21" s="208"/>
      <c r="F21" s="208"/>
      <c r="G21" s="208"/>
      <c r="H21" s="208"/>
      <c r="I21" s="208"/>
      <c r="J21" s="208"/>
      <c r="K21" s="208"/>
      <c r="L21" s="208"/>
      <c r="M21" s="208"/>
      <c r="N21" s="208"/>
      <c r="O21" s="241">
        <f>SUM(C21:N21)</f>
        <v>0</v>
      </c>
      <c r="P21" s="273">
        <v>0.02</v>
      </c>
      <c r="Q21" s="273">
        <v>0.02</v>
      </c>
      <c r="R21" s="7"/>
    </row>
    <row r="22" spans="1:22" x14ac:dyDescent="0.2">
      <c r="A22" s="7"/>
      <c r="B22" s="206" t="s">
        <v>313</v>
      </c>
      <c r="C22" s="208"/>
      <c r="D22" s="208"/>
      <c r="E22" s="208"/>
      <c r="F22" s="208"/>
      <c r="G22" s="208"/>
      <c r="H22" s="208"/>
      <c r="I22" s="208"/>
      <c r="J22" s="208"/>
      <c r="K22" s="208"/>
      <c r="L22" s="208"/>
      <c r="M22" s="208"/>
      <c r="N22" s="208"/>
      <c r="O22" s="241">
        <f>SUM(C22:N22)</f>
        <v>0</v>
      </c>
      <c r="P22" s="273">
        <v>0.02</v>
      </c>
      <c r="Q22" s="273">
        <v>0.02</v>
      </c>
      <c r="R22" s="7"/>
    </row>
    <row r="23" spans="1:22" x14ac:dyDescent="0.2">
      <c r="A23" s="7"/>
      <c r="B23" s="206" t="s">
        <v>314</v>
      </c>
      <c r="C23" s="208"/>
      <c r="D23" s="208"/>
      <c r="E23" s="208"/>
      <c r="F23" s="208"/>
      <c r="G23" s="208"/>
      <c r="H23" s="208"/>
      <c r="I23" s="208"/>
      <c r="J23" s="208"/>
      <c r="K23" s="208"/>
      <c r="L23" s="208"/>
      <c r="M23" s="208"/>
      <c r="N23" s="208"/>
      <c r="O23" s="241">
        <f>SUM(C23:N23)</f>
        <v>0</v>
      </c>
      <c r="P23" s="273">
        <v>0.02</v>
      </c>
      <c r="Q23" s="273">
        <v>0.02</v>
      </c>
      <c r="R23" s="7"/>
    </row>
    <row r="24" spans="1:22" x14ac:dyDescent="0.2">
      <c r="A24" s="7"/>
      <c r="B24" s="531" t="s">
        <v>315</v>
      </c>
      <c r="C24" s="129">
        <f>SUM(C21:C23)</f>
        <v>0</v>
      </c>
      <c r="D24" s="129">
        <f t="shared" ref="D24:N24" si="2">SUM(D21:D23)</f>
        <v>0</v>
      </c>
      <c r="E24" s="129">
        <f t="shared" si="2"/>
        <v>0</v>
      </c>
      <c r="F24" s="129">
        <f t="shared" si="2"/>
        <v>0</v>
      </c>
      <c r="G24" s="129">
        <f t="shared" si="2"/>
        <v>0</v>
      </c>
      <c r="H24" s="129">
        <f t="shared" si="2"/>
        <v>0</v>
      </c>
      <c r="I24" s="129">
        <f t="shared" si="2"/>
        <v>0</v>
      </c>
      <c r="J24" s="129">
        <f t="shared" si="2"/>
        <v>0</v>
      </c>
      <c r="K24" s="129">
        <f t="shared" si="2"/>
        <v>0</v>
      </c>
      <c r="L24" s="129">
        <f t="shared" si="2"/>
        <v>0</v>
      </c>
      <c r="M24" s="129">
        <f t="shared" si="2"/>
        <v>0</v>
      </c>
      <c r="N24" s="129">
        <f t="shared" si="2"/>
        <v>0</v>
      </c>
      <c r="O24" s="129">
        <f>SUM(C24:N24)</f>
        <v>0</v>
      </c>
      <c r="P24" s="511"/>
      <c r="Q24" s="511"/>
      <c r="R24" s="7"/>
    </row>
    <row r="25" spans="1:22" x14ac:dyDescent="0.2">
      <c r="A25" s="7"/>
      <c r="B25" s="26" t="s">
        <v>316</v>
      </c>
      <c r="P25" s="532"/>
      <c r="Q25" s="532"/>
      <c r="R25" s="7"/>
    </row>
    <row r="26" spans="1:22" x14ac:dyDescent="0.2">
      <c r="A26" s="7"/>
      <c r="B26" s="19" t="s">
        <v>317</v>
      </c>
      <c r="C26" s="53">
        <f ca="1">OFFSET('Préstamos LP'!$E$35,'Datos generales'!D1,0,1,1)</f>
        <v>0</v>
      </c>
      <c r="D26" s="53">
        <f ca="1">OFFSET('Préstamos LP'!$E$35,'Datos generales'!E1,0,1,1)</f>
        <v>0</v>
      </c>
      <c r="E26" s="53">
        <f ca="1">OFFSET('Préstamos LP'!$E$35,'Datos generales'!F1,0,1,1)</f>
        <v>0</v>
      </c>
      <c r="F26" s="53">
        <f ca="1">OFFSET('Préstamos LP'!$E$35,'Datos generales'!G1,0,1,1)</f>
        <v>0</v>
      </c>
      <c r="G26" s="53">
        <f ca="1">OFFSET('Préstamos LP'!$E$35,'Datos generales'!H1,0,1,1)</f>
        <v>0</v>
      </c>
      <c r="H26" s="53">
        <f ca="1">OFFSET('Préstamos LP'!$E$35,'Datos generales'!I1,0,1,1)</f>
        <v>0</v>
      </c>
      <c r="I26" s="53">
        <f ca="1">OFFSET('Préstamos LP'!$E$35,'Datos generales'!J1,0,1,1)</f>
        <v>0</v>
      </c>
      <c r="J26" s="53">
        <f ca="1">OFFSET('Préstamos LP'!$E$35,'Datos generales'!K1,0,1,1)</f>
        <v>0</v>
      </c>
      <c r="K26" s="53">
        <f ca="1">OFFSET('Préstamos LP'!$E$35,'Datos generales'!L1,0,1,1)</f>
        <v>0</v>
      </c>
      <c r="L26" s="53">
        <f ca="1">OFFSET('Préstamos LP'!$E$35,'Datos generales'!M1,0,1,1)</f>
        <v>0</v>
      </c>
      <c r="M26" s="53">
        <f ca="1">OFFSET('Préstamos LP'!$E$35,'Datos generales'!N1,0,1,1)</f>
        <v>0</v>
      </c>
      <c r="N26" s="53">
        <f ca="1">OFFSET('Préstamos LP'!$E$35,'Datos generales'!O1,0,1,1)</f>
        <v>0</v>
      </c>
      <c r="O26" s="243">
        <f ca="1">SUM(C26:N26)</f>
        <v>0</v>
      </c>
      <c r="P26" s="511"/>
      <c r="Q26" s="511"/>
      <c r="R26" s="7"/>
    </row>
    <row r="27" spans="1:22" x14ac:dyDescent="0.2">
      <c r="A27" s="7"/>
      <c r="B27" s="19" t="s">
        <v>318</v>
      </c>
      <c r="C27" s="53">
        <f ca="1">OFFSET('Préstamos CP'!$E$24,'Datos generales'!D1,0,1,1)</f>
        <v>0</v>
      </c>
      <c r="D27" s="53">
        <f ca="1">OFFSET('Préstamos CP'!$E$24,'Datos generales'!E1,0,1,1)</f>
        <v>0</v>
      </c>
      <c r="E27" s="53">
        <f ca="1">OFFSET('Préstamos CP'!$E$24,'Datos generales'!F1,0,1,1)</f>
        <v>0</v>
      </c>
      <c r="F27" s="53">
        <f ca="1">OFFSET('Préstamos CP'!$E$24,'Datos generales'!G1,0,1,1)</f>
        <v>0</v>
      </c>
      <c r="G27" s="53">
        <f ca="1">OFFSET('Préstamos CP'!$E$24,'Datos generales'!H1,0,1,1)</f>
        <v>0</v>
      </c>
      <c r="H27" s="53">
        <f ca="1">OFFSET('Préstamos CP'!$E$24,'Datos generales'!I1,0,1,1)</f>
        <v>0</v>
      </c>
      <c r="I27" s="53">
        <f ca="1">OFFSET('Préstamos CP'!$E$24,'Datos generales'!J1,0,1,1)</f>
        <v>0</v>
      </c>
      <c r="J27" s="53">
        <f ca="1">OFFSET('Préstamos CP'!$E$24,'Datos generales'!K1,0,1,1)</f>
        <v>0</v>
      </c>
      <c r="K27" s="53">
        <f ca="1">OFFSET('Préstamos CP'!$E$24,'Datos generales'!L1,0,1,1)</f>
        <v>0</v>
      </c>
      <c r="L27" s="53">
        <f ca="1">OFFSET('Préstamos CP'!$E$24,'Datos generales'!M1,0,1,1)</f>
        <v>0</v>
      </c>
      <c r="M27" s="53">
        <f ca="1">OFFSET('Préstamos CP'!$E$24,'Datos generales'!N1,0,1,1)</f>
        <v>0</v>
      </c>
      <c r="N27" s="53">
        <f ca="1">OFFSET('Préstamos CP'!$E$24,'Datos generales'!O1,0,1,1)</f>
        <v>0</v>
      </c>
      <c r="O27" s="243">
        <f ca="1">SUM(C27:N27)</f>
        <v>0</v>
      </c>
      <c r="P27" s="688"/>
      <c r="Q27" s="688"/>
      <c r="R27" s="7"/>
    </row>
    <row r="28" spans="1:22" x14ac:dyDescent="0.2">
      <c r="A28" s="7"/>
      <c r="B28" s="19" t="s">
        <v>319</v>
      </c>
      <c r="C28" s="687">
        <f ca="1">OFFSET('Préstamos LP'!$V$35,'Datos generales'!D1,0,1,1)</f>
        <v>0</v>
      </c>
      <c r="D28" s="687">
        <f ca="1">OFFSET('Préstamos LP'!$V$35,'Datos generales'!E1,0,1,1)</f>
        <v>0</v>
      </c>
      <c r="E28" s="687">
        <f ca="1">OFFSET('Préstamos LP'!$V$35,'Datos generales'!F1,0,1,1)</f>
        <v>0</v>
      </c>
      <c r="F28" s="687">
        <f ca="1">OFFSET('Préstamos LP'!$V$35,'Datos generales'!G1,0,1,1)</f>
        <v>0</v>
      </c>
      <c r="G28" s="687">
        <f ca="1">OFFSET('Préstamos LP'!$V$35,'Datos generales'!H1,0,1,1)</f>
        <v>0</v>
      </c>
      <c r="H28" s="687">
        <f ca="1">OFFSET('Préstamos LP'!$V$35,'Datos generales'!I1,0,1,1)</f>
        <v>0</v>
      </c>
      <c r="I28" s="687">
        <f ca="1">OFFSET('Préstamos LP'!$V$35,'Datos generales'!J1,0,1,1)</f>
        <v>0</v>
      </c>
      <c r="J28" s="687">
        <f ca="1">OFFSET('Préstamos LP'!$V$35,'Datos generales'!K1,0,1,1)</f>
        <v>0</v>
      </c>
      <c r="K28" s="687">
        <f ca="1">OFFSET('Préstamos LP'!$V$35,'Datos generales'!L1,0,1,1)</f>
        <v>0</v>
      </c>
      <c r="L28" s="687">
        <f ca="1">OFFSET('Préstamos LP'!$V$35,'Datos generales'!M1,0,1,1)</f>
        <v>0</v>
      </c>
      <c r="M28" s="687">
        <f ca="1">OFFSET('Préstamos LP'!$V$35,'Datos generales'!N1,0,1,1)</f>
        <v>0</v>
      </c>
      <c r="N28" s="687">
        <f ca="1">OFFSET('Préstamos LP'!$V$35,'Datos generales'!O1,0,1,1)</f>
        <v>0</v>
      </c>
      <c r="O28" s="243">
        <f ca="1">SUM(C28:N28)</f>
        <v>0</v>
      </c>
      <c r="P28" s="688"/>
      <c r="Q28" s="688"/>
      <c r="R28" s="7"/>
    </row>
    <row r="29" spans="1:22" x14ac:dyDescent="0.2">
      <c r="A29" s="7"/>
      <c r="B29" s="206"/>
      <c r="C29" s="208"/>
      <c r="D29" s="208"/>
      <c r="E29" s="208"/>
      <c r="F29" s="208"/>
      <c r="G29" s="208"/>
      <c r="H29" s="208"/>
      <c r="I29" s="208"/>
      <c r="J29" s="208"/>
      <c r="K29" s="208"/>
      <c r="L29" s="208"/>
      <c r="M29" s="208"/>
      <c r="N29" s="208"/>
      <c r="O29" s="243">
        <f>SUM(C29:N29)</f>
        <v>0</v>
      </c>
      <c r="P29" s="273">
        <v>0.02</v>
      </c>
      <c r="Q29" s="273">
        <v>0.02</v>
      </c>
      <c r="R29" s="7"/>
    </row>
    <row r="30" spans="1:22" x14ac:dyDescent="0.2">
      <c r="A30" s="7"/>
      <c r="B30" s="117" t="s">
        <v>320</v>
      </c>
      <c r="C30" s="129">
        <f t="shared" ref="C30:N30" ca="1" si="3">SUM(C26:C29)</f>
        <v>0</v>
      </c>
      <c r="D30" s="129">
        <f t="shared" ca="1" si="3"/>
        <v>0</v>
      </c>
      <c r="E30" s="129">
        <f t="shared" ca="1" si="3"/>
        <v>0</v>
      </c>
      <c r="F30" s="129">
        <f t="shared" ca="1" si="3"/>
        <v>0</v>
      </c>
      <c r="G30" s="129">
        <f t="shared" ca="1" si="3"/>
        <v>0</v>
      </c>
      <c r="H30" s="129">
        <f t="shared" ca="1" si="3"/>
        <v>0</v>
      </c>
      <c r="I30" s="129">
        <f t="shared" ca="1" si="3"/>
        <v>0</v>
      </c>
      <c r="J30" s="129">
        <f t="shared" ca="1" si="3"/>
        <v>0</v>
      </c>
      <c r="K30" s="129">
        <f t="shared" ca="1" si="3"/>
        <v>0</v>
      </c>
      <c r="L30" s="129">
        <f t="shared" ca="1" si="3"/>
        <v>0</v>
      </c>
      <c r="M30" s="129">
        <f t="shared" ca="1" si="3"/>
        <v>0</v>
      </c>
      <c r="N30" s="129">
        <f t="shared" ca="1" si="3"/>
        <v>0</v>
      </c>
      <c r="O30" s="129">
        <f ca="1">SUM(C30:N30)</f>
        <v>0</v>
      </c>
      <c r="P30" s="511"/>
      <c r="Q30" s="511"/>
      <c r="R30" s="7"/>
    </row>
    <row r="31" spans="1:22" x14ac:dyDescent="0.2">
      <c r="A31" s="7"/>
      <c r="B31" s="26" t="s">
        <v>321</v>
      </c>
      <c r="P31" s="532"/>
      <c r="Q31" s="532"/>
      <c r="R31" s="7"/>
    </row>
    <row r="32" spans="1:22" x14ac:dyDescent="0.2">
      <c r="A32" s="7"/>
      <c r="B32" s="553" t="str">
        <f>'Entrada Inver_Finan'!C69</f>
        <v>Publicidad y propaganda</v>
      </c>
      <c r="C32" s="208"/>
      <c r="D32" s="208"/>
      <c r="E32" s="208"/>
      <c r="F32" s="208"/>
      <c r="G32" s="208"/>
      <c r="H32" s="208"/>
      <c r="I32" s="208"/>
      <c r="J32" s="208"/>
      <c r="K32" s="208"/>
      <c r="L32" s="208"/>
      <c r="M32" s="208"/>
      <c r="N32" s="208"/>
      <c r="O32" s="241">
        <f>SUM(C32:N32)</f>
        <v>0</v>
      </c>
      <c r="P32" s="273">
        <v>0.02</v>
      </c>
      <c r="Q32" s="273">
        <v>0.02</v>
      </c>
      <c r="R32" s="7"/>
    </row>
    <row r="33" spans="1:18" x14ac:dyDescent="0.2">
      <c r="A33" s="7"/>
      <c r="B33" s="206"/>
      <c r="C33" s="208"/>
      <c r="D33" s="208"/>
      <c r="E33" s="208"/>
      <c r="F33" s="208"/>
      <c r="G33" s="208"/>
      <c r="H33" s="208"/>
      <c r="I33" s="208"/>
      <c r="J33" s="208"/>
      <c r="K33" s="208"/>
      <c r="L33" s="208"/>
      <c r="M33" s="208"/>
      <c r="N33" s="208"/>
      <c r="O33" s="241">
        <f>SUM(C33:N33)</f>
        <v>0</v>
      </c>
      <c r="P33" s="273">
        <v>0.02</v>
      </c>
      <c r="Q33" s="273">
        <v>0.02</v>
      </c>
      <c r="R33" s="7"/>
    </row>
    <row r="34" spans="1:18" x14ac:dyDescent="0.2">
      <c r="A34" s="7"/>
      <c r="B34" s="206"/>
      <c r="C34" s="208"/>
      <c r="D34" s="208"/>
      <c r="E34" s="208"/>
      <c r="F34" s="208"/>
      <c r="G34" s="208"/>
      <c r="H34" s="208"/>
      <c r="I34" s="208"/>
      <c r="J34" s="208"/>
      <c r="K34" s="208"/>
      <c r="L34" s="208"/>
      <c r="M34" s="208"/>
      <c r="N34" s="208"/>
      <c r="O34" s="241">
        <f>SUM(C34:N34)</f>
        <v>0</v>
      </c>
      <c r="P34" s="273">
        <v>0.02</v>
      </c>
      <c r="Q34" s="273">
        <v>0.02</v>
      </c>
      <c r="R34" s="7"/>
    </row>
    <row r="35" spans="1:18" x14ac:dyDescent="0.2">
      <c r="A35" s="7"/>
      <c r="B35" s="531" t="s">
        <v>322</v>
      </c>
      <c r="C35" s="129">
        <f t="shared" ref="C35:N35" si="4">SUM(C32:C34)</f>
        <v>0</v>
      </c>
      <c r="D35" s="129">
        <f t="shared" si="4"/>
        <v>0</v>
      </c>
      <c r="E35" s="129">
        <f t="shared" si="4"/>
        <v>0</v>
      </c>
      <c r="F35" s="129">
        <f t="shared" si="4"/>
        <v>0</v>
      </c>
      <c r="G35" s="129">
        <f t="shared" si="4"/>
        <v>0</v>
      </c>
      <c r="H35" s="129">
        <f t="shared" si="4"/>
        <v>0</v>
      </c>
      <c r="I35" s="129">
        <f t="shared" si="4"/>
        <v>0</v>
      </c>
      <c r="J35" s="129">
        <f t="shared" si="4"/>
        <v>0</v>
      </c>
      <c r="K35" s="129">
        <f t="shared" si="4"/>
        <v>0</v>
      </c>
      <c r="L35" s="129">
        <f t="shared" si="4"/>
        <v>0</v>
      </c>
      <c r="M35" s="129">
        <f t="shared" si="4"/>
        <v>0</v>
      </c>
      <c r="N35" s="129">
        <f t="shared" si="4"/>
        <v>0</v>
      </c>
      <c r="O35" s="129">
        <f>SUM(C35:N35)</f>
        <v>0</v>
      </c>
      <c r="P35" s="511"/>
      <c r="Q35" s="511"/>
      <c r="R35" s="7"/>
    </row>
    <row r="36" spans="1:18" x14ac:dyDescent="0.2">
      <c r="A36" s="7"/>
      <c r="B36" s="26" t="s">
        <v>323</v>
      </c>
      <c r="P36" s="532"/>
      <c r="Q36" s="532"/>
      <c r="R36" s="7"/>
    </row>
    <row r="37" spans="1:18" x14ac:dyDescent="0.2">
      <c r="A37" s="7"/>
      <c r="B37" s="206" t="s">
        <v>324</v>
      </c>
      <c r="C37" s="208"/>
      <c r="D37" s="208"/>
      <c r="E37" s="208"/>
      <c r="F37" s="208"/>
      <c r="G37" s="208"/>
      <c r="H37" s="208"/>
      <c r="I37" s="208"/>
      <c r="J37" s="208"/>
      <c r="K37" s="208"/>
      <c r="L37" s="208"/>
      <c r="M37" s="208"/>
      <c r="N37" s="208"/>
      <c r="O37" s="241">
        <f t="shared" ref="O37:O47" si="5">SUM(C37:N37)</f>
        <v>0</v>
      </c>
      <c r="P37" s="273">
        <v>0.02</v>
      </c>
      <c r="Q37" s="273">
        <v>0.02</v>
      </c>
      <c r="R37" s="7"/>
    </row>
    <row r="38" spans="1:18" x14ac:dyDescent="0.2">
      <c r="A38" s="7"/>
      <c r="B38" s="206" t="s">
        <v>325</v>
      </c>
      <c r="C38" s="208"/>
      <c r="D38" s="208"/>
      <c r="E38" s="208"/>
      <c r="F38" s="208"/>
      <c r="G38" s="208"/>
      <c r="H38" s="208"/>
      <c r="I38" s="208"/>
      <c r="J38" s="208"/>
      <c r="K38" s="208"/>
      <c r="L38" s="208"/>
      <c r="M38" s="208"/>
      <c r="N38" s="208"/>
      <c r="O38" s="241">
        <f t="shared" si="5"/>
        <v>0</v>
      </c>
      <c r="P38" s="273">
        <v>0.02</v>
      </c>
      <c r="Q38" s="273">
        <v>0.02</v>
      </c>
      <c r="R38" s="7"/>
    </row>
    <row r="39" spans="1:18" x14ac:dyDescent="0.2">
      <c r="A39" s="7"/>
      <c r="B39" s="206" t="s">
        <v>211</v>
      </c>
      <c r="C39" s="208"/>
      <c r="D39" s="208"/>
      <c r="E39" s="208"/>
      <c r="F39" s="208"/>
      <c r="G39" s="208"/>
      <c r="H39" s="208"/>
      <c r="I39" s="208"/>
      <c r="J39" s="208"/>
      <c r="K39" s="208"/>
      <c r="L39" s="208"/>
      <c r="M39" s="208"/>
      <c r="N39" s="208"/>
      <c r="O39" s="241">
        <f t="shared" si="5"/>
        <v>0</v>
      </c>
      <c r="P39" s="273">
        <v>0.02</v>
      </c>
      <c r="Q39" s="273">
        <v>0.02</v>
      </c>
      <c r="R39" s="7"/>
    </row>
    <row r="40" spans="1:18" x14ac:dyDescent="0.2">
      <c r="A40" s="7"/>
      <c r="B40" s="206" t="s">
        <v>326</v>
      </c>
      <c r="C40" s="208"/>
      <c r="D40" s="208"/>
      <c r="E40" s="208"/>
      <c r="F40" s="208"/>
      <c r="G40" s="208"/>
      <c r="H40" s="208"/>
      <c r="I40" s="208"/>
      <c r="J40" s="208"/>
      <c r="K40" s="208"/>
      <c r="L40" s="208"/>
      <c r="M40" s="208"/>
      <c r="N40" s="208"/>
      <c r="O40" s="241">
        <f t="shared" si="5"/>
        <v>0</v>
      </c>
      <c r="P40" s="273">
        <v>0.02</v>
      </c>
      <c r="Q40" s="273">
        <v>0.02</v>
      </c>
      <c r="R40" s="7"/>
    </row>
    <row r="41" spans="1:18" x14ac:dyDescent="0.2">
      <c r="A41" s="7"/>
      <c r="B41" s="206" t="s">
        <v>327</v>
      </c>
      <c r="C41" s="208"/>
      <c r="D41" s="208"/>
      <c r="E41" s="208"/>
      <c r="F41" s="208"/>
      <c r="G41" s="208"/>
      <c r="H41" s="208"/>
      <c r="I41" s="208"/>
      <c r="J41" s="208"/>
      <c r="K41" s="208"/>
      <c r="L41" s="208"/>
      <c r="M41" s="208"/>
      <c r="N41" s="208"/>
      <c r="O41" s="241">
        <f t="shared" si="5"/>
        <v>0</v>
      </c>
      <c r="P41" s="273">
        <v>0.02</v>
      </c>
      <c r="Q41" s="273">
        <v>0.02</v>
      </c>
      <c r="R41" s="7"/>
    </row>
    <row r="42" spans="1:18" x14ac:dyDescent="0.2">
      <c r="A42" s="7"/>
      <c r="B42" s="206" t="s">
        <v>328</v>
      </c>
      <c r="C42" s="208"/>
      <c r="D42" s="208"/>
      <c r="E42" s="208"/>
      <c r="F42" s="208"/>
      <c r="G42" s="208"/>
      <c r="H42" s="208"/>
      <c r="I42" s="208"/>
      <c r="J42" s="208"/>
      <c r="K42" s="208"/>
      <c r="L42" s="208"/>
      <c r="M42" s="208"/>
      <c r="N42" s="208"/>
      <c r="O42" s="241">
        <f t="shared" si="5"/>
        <v>0</v>
      </c>
      <c r="P42" s="273">
        <v>0.02</v>
      </c>
      <c r="Q42" s="273">
        <v>0.02</v>
      </c>
      <c r="R42" s="7"/>
    </row>
    <row r="43" spans="1:18" x14ac:dyDescent="0.2">
      <c r="A43" s="7"/>
      <c r="B43" s="206" t="s">
        <v>329</v>
      </c>
      <c r="C43" s="208"/>
      <c r="D43" s="208"/>
      <c r="E43" s="208"/>
      <c r="F43" s="208"/>
      <c r="G43" s="208"/>
      <c r="H43" s="208"/>
      <c r="I43" s="208"/>
      <c r="J43" s="208"/>
      <c r="K43" s="208"/>
      <c r="L43" s="208"/>
      <c r="M43" s="208"/>
      <c r="N43" s="208"/>
      <c r="O43" s="241">
        <f t="shared" si="5"/>
        <v>0</v>
      </c>
      <c r="P43" s="273">
        <v>0.02</v>
      </c>
      <c r="Q43" s="273">
        <v>0.02</v>
      </c>
      <c r="R43" s="7"/>
    </row>
    <row r="44" spans="1:18" x14ac:dyDescent="0.2">
      <c r="A44" s="7"/>
      <c r="B44" s="206" t="s">
        <v>330</v>
      </c>
      <c r="C44" s="208"/>
      <c r="D44" s="208"/>
      <c r="E44" s="208"/>
      <c r="F44" s="208"/>
      <c r="G44" s="208"/>
      <c r="H44" s="208"/>
      <c r="I44" s="208"/>
      <c r="J44" s="208"/>
      <c r="K44" s="208"/>
      <c r="L44" s="208"/>
      <c r="M44" s="208"/>
      <c r="N44" s="208"/>
      <c r="O44" s="241">
        <f t="shared" si="5"/>
        <v>0</v>
      </c>
      <c r="P44" s="273">
        <v>0.02</v>
      </c>
      <c r="Q44" s="273">
        <v>0.02</v>
      </c>
      <c r="R44" s="7"/>
    </row>
    <row r="45" spans="1:18" x14ac:dyDescent="0.2">
      <c r="A45" s="7"/>
      <c r="B45" s="206" t="s">
        <v>331</v>
      </c>
      <c r="C45" s="208"/>
      <c r="D45" s="208"/>
      <c r="E45" s="208"/>
      <c r="F45" s="208"/>
      <c r="G45" s="208"/>
      <c r="H45" s="208"/>
      <c r="I45" s="208"/>
      <c r="J45" s="208"/>
      <c r="K45" s="208"/>
      <c r="L45" s="208"/>
      <c r="M45" s="208"/>
      <c r="N45" s="208"/>
      <c r="O45" s="241">
        <f t="shared" si="5"/>
        <v>0</v>
      </c>
      <c r="P45" s="273">
        <v>0.02</v>
      </c>
      <c r="Q45" s="273">
        <v>0.02</v>
      </c>
      <c r="R45" s="7"/>
    </row>
    <row r="46" spans="1:18" x14ac:dyDescent="0.2">
      <c r="A46" s="7"/>
      <c r="B46" s="206" t="s">
        <v>332</v>
      </c>
      <c r="C46" s="208"/>
      <c r="D46" s="208"/>
      <c r="E46" s="208"/>
      <c r="F46" s="208"/>
      <c r="G46" s="208"/>
      <c r="H46" s="208"/>
      <c r="I46" s="208"/>
      <c r="J46" s="208"/>
      <c r="K46" s="208"/>
      <c r="L46" s="208"/>
      <c r="M46" s="208"/>
      <c r="N46" s="208"/>
      <c r="O46" s="241">
        <f>SUM(C46:N46)</f>
        <v>0</v>
      </c>
      <c r="P46" s="273">
        <v>0.02</v>
      </c>
      <c r="Q46" s="273">
        <v>0.02</v>
      </c>
      <c r="R46" s="7"/>
    </row>
    <row r="47" spans="1:18" x14ac:dyDescent="0.2">
      <c r="A47" s="7"/>
      <c r="B47" s="545" t="s">
        <v>333</v>
      </c>
      <c r="C47" s="129">
        <f>SUM(C37:C46)</f>
        <v>0</v>
      </c>
      <c r="D47" s="129">
        <f t="shared" ref="D47:N47" si="6">SUM(D37:D46)</f>
        <v>0</v>
      </c>
      <c r="E47" s="129">
        <f t="shared" si="6"/>
        <v>0</v>
      </c>
      <c r="F47" s="129">
        <f t="shared" si="6"/>
        <v>0</v>
      </c>
      <c r="G47" s="129">
        <f t="shared" si="6"/>
        <v>0</v>
      </c>
      <c r="H47" s="129">
        <f t="shared" si="6"/>
        <v>0</v>
      </c>
      <c r="I47" s="129">
        <f t="shared" si="6"/>
        <v>0</v>
      </c>
      <c r="J47" s="129">
        <f t="shared" si="6"/>
        <v>0</v>
      </c>
      <c r="K47" s="129">
        <f t="shared" si="6"/>
        <v>0</v>
      </c>
      <c r="L47" s="129">
        <f t="shared" si="6"/>
        <v>0</v>
      </c>
      <c r="M47" s="129">
        <f t="shared" si="6"/>
        <v>0</v>
      </c>
      <c r="N47" s="129">
        <f t="shared" si="6"/>
        <v>0</v>
      </c>
      <c r="O47" s="129">
        <f t="shared" si="5"/>
        <v>0</v>
      </c>
      <c r="P47" s="533"/>
      <c r="Q47" s="511"/>
      <c r="R47" s="7"/>
    </row>
    <row r="48" spans="1:18" ht="6.75" customHeight="1" thickBot="1" x14ac:dyDescent="0.25">
      <c r="A48" s="7"/>
      <c r="B48" s="8"/>
      <c r="C48" s="97"/>
      <c r="D48" s="97"/>
      <c r="E48" s="97"/>
      <c r="F48" s="97"/>
      <c r="G48" s="97"/>
      <c r="H48" s="97"/>
      <c r="I48" s="97"/>
      <c r="J48" s="97"/>
      <c r="K48" s="97"/>
      <c r="L48" s="97"/>
      <c r="M48" s="97"/>
      <c r="N48" s="97"/>
      <c r="O48" s="97"/>
      <c r="P48" s="511"/>
      <c r="Q48" s="511"/>
      <c r="R48" s="7"/>
    </row>
    <row r="49" spans="1:18" ht="17.25" thickTop="1" thickBot="1" x14ac:dyDescent="0.3">
      <c r="A49" s="7"/>
      <c r="B49" s="534" t="s">
        <v>334</v>
      </c>
      <c r="C49" s="535">
        <f t="shared" ref="C49:N49" ca="1" si="7">C19+C24+C30+C35+C47</f>
        <v>0</v>
      </c>
      <c r="D49" s="535">
        <f t="shared" ca="1" si="7"/>
        <v>0</v>
      </c>
      <c r="E49" s="535">
        <f t="shared" ca="1" si="7"/>
        <v>0</v>
      </c>
      <c r="F49" s="535">
        <f t="shared" ca="1" si="7"/>
        <v>0</v>
      </c>
      <c r="G49" s="535">
        <f t="shared" ca="1" si="7"/>
        <v>0</v>
      </c>
      <c r="H49" s="535">
        <f t="shared" ca="1" si="7"/>
        <v>0</v>
      </c>
      <c r="I49" s="535">
        <f t="shared" ca="1" si="7"/>
        <v>0</v>
      </c>
      <c r="J49" s="535">
        <f t="shared" ca="1" si="7"/>
        <v>0</v>
      </c>
      <c r="K49" s="535">
        <f t="shared" ca="1" si="7"/>
        <v>0</v>
      </c>
      <c r="L49" s="535">
        <f t="shared" ca="1" si="7"/>
        <v>0</v>
      </c>
      <c r="M49" s="535">
        <f t="shared" ca="1" si="7"/>
        <v>0</v>
      </c>
      <c r="N49" s="535">
        <f t="shared" ca="1" si="7"/>
        <v>0</v>
      </c>
      <c r="O49" s="536">
        <f ca="1">SUM(C49:N49)</f>
        <v>0</v>
      </c>
      <c r="P49" s="511"/>
      <c r="Q49" s="511"/>
      <c r="R49" s="7"/>
    </row>
    <row r="50" spans="1:18" ht="13.5" thickTop="1" x14ac:dyDescent="0.2">
      <c r="A50" s="7"/>
      <c r="B50" s="7"/>
      <c r="C50" s="7"/>
      <c r="D50" s="9"/>
      <c r="E50" s="7"/>
      <c r="F50" s="7"/>
      <c r="G50" s="7"/>
      <c r="H50" s="7"/>
      <c r="I50" s="7"/>
      <c r="J50" s="7"/>
      <c r="K50" s="7"/>
      <c r="L50" s="7"/>
      <c r="M50" s="7"/>
      <c r="N50" s="7"/>
      <c r="O50" s="7"/>
      <c r="P50" s="7"/>
      <c r="Q50" s="7"/>
      <c r="R50" s="7"/>
    </row>
    <row r="51" spans="1:18" ht="13.5" thickBot="1" x14ac:dyDescent="0.25">
      <c r="A51" s="7"/>
      <c r="B51" s="7"/>
      <c r="C51" s="7"/>
      <c r="D51" s="9"/>
      <c r="E51" s="7"/>
      <c r="F51" s="7"/>
      <c r="G51" s="7"/>
      <c r="H51" s="7"/>
      <c r="I51" s="7"/>
      <c r="J51" s="7"/>
      <c r="K51" s="7"/>
      <c r="L51" s="7"/>
      <c r="M51" s="7"/>
      <c r="N51" s="7"/>
      <c r="O51" s="7"/>
      <c r="P51" s="7"/>
      <c r="Q51" s="7"/>
      <c r="R51" s="7"/>
    </row>
    <row r="52" spans="1:18" ht="13.5" thickBot="1" x14ac:dyDescent="0.25">
      <c r="A52" s="7"/>
      <c r="B52" s="537" t="s">
        <v>335</v>
      </c>
      <c r="R52" s="7"/>
    </row>
    <row r="53" spans="1:18" ht="13.5" thickBot="1" x14ac:dyDescent="0.25">
      <c r="A53" s="7"/>
      <c r="B53" s="206"/>
      <c r="C53" s="208"/>
      <c r="D53" s="208"/>
      <c r="E53" s="208"/>
      <c r="F53" s="208"/>
      <c r="G53" s="208"/>
      <c r="H53" s="208"/>
      <c r="I53" s="208"/>
      <c r="J53" s="208"/>
      <c r="K53" s="208"/>
      <c r="L53" s="208"/>
      <c r="M53" s="208"/>
      <c r="N53" s="208"/>
      <c r="O53" s="538">
        <f>SUM(C53:N53)</f>
        <v>0</v>
      </c>
      <c r="P53" s="273">
        <v>0.02</v>
      </c>
      <c r="Q53" s="273">
        <v>0.02</v>
      </c>
      <c r="R53" s="7"/>
    </row>
    <row r="54" spans="1:18" ht="13.5" thickBot="1" x14ac:dyDescent="0.25">
      <c r="A54" s="7"/>
      <c r="B54" s="206"/>
      <c r="C54" s="208"/>
      <c r="D54" s="208"/>
      <c r="E54" s="208"/>
      <c r="F54" s="208"/>
      <c r="G54" s="208"/>
      <c r="H54" s="208"/>
      <c r="I54" s="208"/>
      <c r="J54" s="208"/>
      <c r="K54" s="208"/>
      <c r="L54" s="208"/>
      <c r="M54" s="208"/>
      <c r="N54" s="208"/>
      <c r="O54" s="539">
        <f>SUM(C54:N54)</f>
        <v>0</v>
      </c>
      <c r="P54" s="273">
        <v>0.02</v>
      </c>
      <c r="Q54" s="273">
        <v>0.02</v>
      </c>
      <c r="R54" s="7"/>
    </row>
    <row r="55" spans="1:18" x14ac:dyDescent="0.2">
      <c r="A55" s="7"/>
      <c r="B55" s="540" t="s">
        <v>336</v>
      </c>
      <c r="C55" s="541">
        <f t="shared" ref="C55:N55" si="8">SUM(C53:C54)</f>
        <v>0</v>
      </c>
      <c r="D55" s="541">
        <f t="shared" si="8"/>
        <v>0</v>
      </c>
      <c r="E55" s="541">
        <f t="shared" si="8"/>
        <v>0</v>
      </c>
      <c r="F55" s="541">
        <f t="shared" si="8"/>
        <v>0</v>
      </c>
      <c r="G55" s="541">
        <f t="shared" si="8"/>
        <v>0</v>
      </c>
      <c r="H55" s="541">
        <f t="shared" si="8"/>
        <v>0</v>
      </c>
      <c r="I55" s="541">
        <f t="shared" si="8"/>
        <v>0</v>
      </c>
      <c r="J55" s="541">
        <f t="shared" si="8"/>
        <v>0</v>
      </c>
      <c r="K55" s="541">
        <f t="shared" si="8"/>
        <v>0</v>
      </c>
      <c r="L55" s="541">
        <f t="shared" si="8"/>
        <v>0</v>
      </c>
      <c r="M55" s="541">
        <f t="shared" si="8"/>
        <v>0</v>
      </c>
      <c r="N55" s="541">
        <f t="shared" si="8"/>
        <v>0</v>
      </c>
      <c r="O55" s="117">
        <f>SUM(C55:N55)</f>
        <v>0</v>
      </c>
      <c r="P55" s="542"/>
      <c r="Q55" s="542"/>
      <c r="R55" s="7"/>
    </row>
    <row r="56" spans="1:18" ht="6" customHeight="1" x14ac:dyDescent="0.2">
      <c r="A56" s="7"/>
      <c r="B56" s="8"/>
      <c r="C56" s="8"/>
      <c r="D56" s="9"/>
      <c r="E56" s="7"/>
      <c r="F56" s="7"/>
      <c r="G56" s="7"/>
      <c r="H56" s="7"/>
      <c r="I56" s="7"/>
      <c r="J56" s="7"/>
      <c r="K56" s="7"/>
      <c r="L56" s="7"/>
      <c r="M56" s="7"/>
      <c r="N56" s="7"/>
      <c r="O56" s="7"/>
      <c r="P56" s="7"/>
      <c r="Q56" s="7"/>
      <c r="R56" s="7"/>
    </row>
    <row r="57" spans="1:18" ht="33.75" customHeight="1" x14ac:dyDescent="0.2">
      <c r="A57" s="7"/>
      <c r="B57" s="7"/>
      <c r="C57" s="1354" t="str">
        <f ca="1">IF(C49&lt;=0,"Recuerde que, independientemente de cuando tenga previsto iniciar su actividad, DEBE CUMPLIMENTAR EL AÑO COMPLETO. El programa tendrá en cuenta la fecha de inicio de actividad.","")</f>
        <v>Recuerde que, independientemente de cuando tenga previsto iniciar su actividad, DEBE CUMPLIMENTAR EL AÑO COMPLETO. El programa tendrá en cuenta la fecha de inicio de actividad.</v>
      </c>
      <c r="D57" s="1354"/>
      <c r="E57" s="1354"/>
      <c r="F57" s="1354"/>
      <c r="G57" s="1354"/>
      <c r="H57" s="1354"/>
      <c r="I57" s="1354"/>
      <c r="J57" s="1354"/>
      <c r="K57" s="1354"/>
      <c r="L57" s="1354"/>
      <c r="M57" s="1354"/>
      <c r="N57" s="7"/>
      <c r="O57" s="7"/>
      <c r="P57" s="7"/>
      <c r="Q57" s="7"/>
      <c r="R57" s="7"/>
    </row>
    <row r="58" spans="1:18" ht="15" x14ac:dyDescent="0.2">
      <c r="A58" s="7"/>
      <c r="B58" s="7"/>
      <c r="C58" s="1211"/>
      <c r="D58" s="9"/>
      <c r="E58" s="7"/>
      <c r="F58" s="7"/>
      <c r="G58" s="7"/>
      <c r="H58" s="7"/>
      <c r="I58" s="7"/>
      <c r="J58" s="7"/>
      <c r="K58" s="7"/>
      <c r="L58" s="7"/>
      <c r="M58" s="7"/>
      <c r="N58" s="7"/>
      <c r="O58" s="7"/>
      <c r="P58" s="7"/>
      <c r="Q58" s="7"/>
      <c r="R58" s="7"/>
    </row>
    <row r="59" spans="1:18" x14ac:dyDescent="0.2">
      <c r="B59" s="543"/>
    </row>
    <row r="60" spans="1:18" x14ac:dyDescent="0.2">
      <c r="B60" s="543"/>
    </row>
    <row r="61" spans="1:18" x14ac:dyDescent="0.2">
      <c r="B61" s="543"/>
    </row>
    <row r="62" spans="1:18" x14ac:dyDescent="0.2">
      <c r="B62" s="543"/>
    </row>
    <row r="63" spans="1:18" x14ac:dyDescent="0.2">
      <c r="B63" s="543"/>
    </row>
    <row r="64" spans="1:18" x14ac:dyDescent="0.2">
      <c r="B64" s="543"/>
    </row>
    <row r="65" spans="2:2" x14ac:dyDescent="0.2">
      <c r="B65" s="543"/>
    </row>
    <row r="68" spans="2:2" x14ac:dyDescent="0.2">
      <c r="B68" s="544"/>
    </row>
  </sheetData>
  <sheetProtection password="CC4B" sheet="1" objects="1" scenarios="1"/>
  <mergeCells count="3">
    <mergeCell ref="R10:R11"/>
    <mergeCell ref="C57:M57"/>
    <mergeCell ref="B6:L6"/>
  </mergeCells>
  <phoneticPr fontId="0" type="noConversion"/>
  <dataValidations count="2">
    <dataValidation type="decimal" allowBlank="1" showInputMessage="1" showErrorMessage="1" error="El dato debe ser numérico." sqref="C13:Q54" xr:uid="{00000000-0002-0000-0500-000000000000}">
      <formula1>0</formula1>
      <formula2>9999999999.99</formula2>
    </dataValidation>
    <dataValidation type="date" allowBlank="1" showInputMessage="1" showErrorMessage="1" error="La fecha no puede ser anterior a la de inicio de la actividad ni superar el tercer año." sqref="R14:R18" xr:uid="{00000000-0002-0000-0500-000001000000}">
      <formula1>$E$3</formula1>
      <formula2>DATE($G$3+2,12,31)</formula2>
    </dataValidation>
  </dataValidations>
  <pageMargins left="0.75" right="0.75" top="1" bottom="1" header="0" footer="0"/>
  <pageSetup paperSize="9" orientation="portrait" horizontalDpi="200" verticalDpi="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3">
    <tabColor theme="4" tint="0.39997558519241921"/>
    <pageSetUpPr fitToPage="1"/>
  </sheetPr>
  <dimension ref="A1:X119"/>
  <sheetViews>
    <sheetView showGridLines="0" zoomScale="115" workbookViewId="0">
      <selection activeCell="J23" sqref="J23"/>
    </sheetView>
  </sheetViews>
  <sheetFormatPr baseColWidth="10" defaultColWidth="9.140625" defaultRowHeight="12.75" x14ac:dyDescent="0.2"/>
  <cols>
    <col min="1" max="1" width="11.42578125" customWidth="1"/>
    <col min="2" max="2" width="5.140625" customWidth="1"/>
    <col min="3" max="3" width="5.28515625" customWidth="1"/>
    <col min="4" max="4" width="2.85546875" customWidth="1"/>
    <col min="5" max="5" width="34" customWidth="1"/>
    <col min="6" max="6" width="13.7109375" style="58" customWidth="1"/>
    <col min="7" max="7" width="10.5703125" customWidth="1"/>
    <col min="8" max="10" width="11.42578125" customWidth="1"/>
    <col min="11" max="11" width="10.140625" hidden="1" customWidth="1"/>
    <col min="12" max="12" width="16.5703125" hidden="1" customWidth="1"/>
    <col min="13" max="13" width="17.5703125" hidden="1" customWidth="1"/>
    <col min="14" max="14" width="15.42578125" hidden="1" customWidth="1"/>
    <col min="15" max="17" width="15.7109375" hidden="1" customWidth="1"/>
    <col min="18" max="18" width="14.140625" customWidth="1"/>
    <col min="19" max="19" width="12" customWidth="1"/>
    <col min="20" max="20" width="12.7109375" customWidth="1"/>
    <col min="21" max="21" width="16" customWidth="1"/>
    <col min="22" max="256" width="11.42578125" customWidth="1"/>
  </cols>
  <sheetData>
    <row r="1" spans="2:7" s="546" customFormat="1" ht="10.5" customHeight="1" thickBot="1" x14ac:dyDescent="0.25">
      <c r="F1" s="549"/>
    </row>
    <row r="2" spans="2:7" ht="10.5" customHeight="1" x14ac:dyDescent="0.2"/>
    <row r="3" spans="2:7" ht="10.5" customHeight="1" x14ac:dyDescent="0.2"/>
    <row r="4" spans="2:7" ht="10.5" customHeight="1" x14ac:dyDescent="0.2"/>
    <row r="5" spans="2:7" ht="10.5" customHeight="1" x14ac:dyDescent="0.2"/>
    <row r="7" spans="2:7" ht="20.25" x14ac:dyDescent="0.3">
      <c r="B7" s="1360" t="str">
        <f>'Datos generales'!C6</f>
        <v>Nombre de la empresa</v>
      </c>
      <c r="C7" s="1360"/>
      <c r="D7" s="1360"/>
      <c r="E7" s="1360"/>
      <c r="F7" s="1360"/>
      <c r="G7" s="1360"/>
    </row>
    <row r="8" spans="2:7" ht="20.25" x14ac:dyDescent="0.3">
      <c r="D8" s="107"/>
      <c r="E8" s="107"/>
      <c r="F8" s="107"/>
      <c r="G8" s="107"/>
    </row>
    <row r="10" spans="2:7" ht="15.75" x14ac:dyDescent="0.25">
      <c r="B10" s="138" t="s">
        <v>337</v>
      </c>
      <c r="E10" s="138"/>
      <c r="F10" s="9"/>
    </row>
    <row r="11" spans="2:7" ht="9" customHeight="1" x14ac:dyDescent="0.2">
      <c r="B11" s="618" t="s">
        <v>169</v>
      </c>
      <c r="E11" s="8"/>
      <c r="F11" s="9"/>
    </row>
    <row r="12" spans="2:7" ht="18" x14ac:dyDescent="0.25">
      <c r="B12" s="139" t="s">
        <v>338</v>
      </c>
      <c r="E12" s="139"/>
    </row>
    <row r="13" spans="2:7" ht="6.75" customHeight="1" x14ac:dyDescent="0.25">
      <c r="D13" s="139"/>
      <c r="E13" s="139"/>
    </row>
    <row r="14" spans="2:7" x14ac:dyDescent="0.2">
      <c r="B14" s="1361" t="s">
        <v>170</v>
      </c>
      <c r="C14" s="1362"/>
      <c r="D14" s="1362"/>
      <c r="E14" s="1362"/>
      <c r="F14" s="1365" t="s">
        <v>171</v>
      </c>
      <c r="G14" s="1366"/>
    </row>
    <row r="15" spans="2:7" ht="22.5" x14ac:dyDescent="0.2">
      <c r="B15" s="1363"/>
      <c r="C15" s="1364"/>
      <c r="D15" s="1364"/>
      <c r="E15" s="1364"/>
      <c r="F15" s="287" t="s">
        <v>176</v>
      </c>
      <c r="G15" s="288" t="s">
        <v>339</v>
      </c>
    </row>
    <row r="16" spans="2:7" ht="3" customHeight="1" x14ac:dyDescent="0.2">
      <c r="B16" s="152"/>
      <c r="C16" s="152"/>
      <c r="D16" s="152"/>
      <c r="E16" s="152"/>
      <c r="F16" s="153"/>
      <c r="G16" s="154"/>
    </row>
    <row r="17" spans="2:7" ht="15" x14ac:dyDescent="0.25">
      <c r="B17" s="164" t="s">
        <v>340</v>
      </c>
      <c r="C17" s="196"/>
      <c r="D17" s="196"/>
      <c r="E17" s="196"/>
      <c r="F17" s="820">
        <f>IF(F53=0,0," ")</f>
        <v>0</v>
      </c>
      <c r="G17" s="197"/>
    </row>
    <row r="18" spans="2:7" x14ac:dyDescent="0.2">
      <c r="B18" s="148"/>
      <c r="C18" s="27" t="s">
        <v>341</v>
      </c>
      <c r="F18" s="58">
        <f>IF(F31=0,0,".")</f>
        <v>0</v>
      </c>
      <c r="G18" s="161"/>
    </row>
    <row r="19" spans="2:7" x14ac:dyDescent="0.2">
      <c r="B19" s="148"/>
      <c r="D19" s="189" t="str">
        <f>'Entrada Inver_Finan'!C42</f>
        <v>Aplicaciones Informáticas</v>
      </c>
      <c r="E19" s="189"/>
      <c r="F19" s="190">
        <f>'Entrada Inver_Finan'!D42</f>
        <v>0</v>
      </c>
      <c r="G19" s="162" t="str">
        <f t="shared" ref="G19:G31" si="0">IF($F$83&lt;&gt;0,F19/$F$83,"")</f>
        <v/>
      </c>
    </row>
    <row r="20" spans="2:7" x14ac:dyDescent="0.2">
      <c r="B20" s="148"/>
      <c r="D20" s="189" t="str">
        <f>'Entrada Inver_Finan'!C43</f>
        <v>Licencias y concesiones administrativas</v>
      </c>
      <c r="E20" s="155"/>
      <c r="F20" s="144">
        <f>'Entrada Inver_Finan'!D43</f>
        <v>0</v>
      </c>
      <c r="G20" s="168" t="str">
        <f t="shared" si="0"/>
        <v/>
      </c>
    </row>
    <row r="21" spans="2:7" x14ac:dyDescent="0.2">
      <c r="B21" s="148"/>
      <c r="D21" s="189" t="str">
        <f>'Entrada Inver_Finan'!C44</f>
        <v>Propiedad Industrial</v>
      </c>
      <c r="E21" s="155"/>
      <c r="F21" s="144">
        <f>'Entrada Inver_Finan'!D44</f>
        <v>0</v>
      </c>
      <c r="G21" s="168" t="str">
        <f t="shared" si="0"/>
        <v/>
      </c>
    </row>
    <row r="22" spans="2:7" x14ac:dyDescent="0.2">
      <c r="B22" s="148"/>
      <c r="D22" s="189" t="str">
        <f>'Entrada Inver_Finan'!C45</f>
        <v>Investigación y desarrrollo</v>
      </c>
      <c r="E22" s="155"/>
      <c r="F22" s="144">
        <f>'Entrada Inver_Finan'!D45</f>
        <v>0</v>
      </c>
      <c r="G22" s="168" t="str">
        <f t="shared" si="0"/>
        <v/>
      </c>
    </row>
    <row r="23" spans="2:7" x14ac:dyDescent="0.2">
      <c r="B23" s="148"/>
      <c r="D23" s="189" t="str">
        <f>'Entrada Inver_Finan'!C46</f>
        <v>Otro inmovilizado intangible</v>
      </c>
      <c r="E23" s="155"/>
      <c r="F23" s="144">
        <f>'Entrada Inver_Finan'!D46</f>
        <v>0</v>
      </c>
      <c r="G23" s="168" t="str">
        <f t="shared" si="0"/>
        <v/>
      </c>
    </row>
    <row r="24" spans="2:7" x14ac:dyDescent="0.2">
      <c r="B24" s="148"/>
      <c r="D24" s="189">
        <f>'Entrada Inver_Finan'!C47</f>
        <v>0</v>
      </c>
      <c r="E24" s="155"/>
      <c r="F24" s="144">
        <f>'Entrada Inver_Finan'!D47</f>
        <v>0</v>
      </c>
      <c r="G24" s="168" t="str">
        <f t="shared" si="0"/>
        <v/>
      </c>
    </row>
    <row r="25" spans="2:7" x14ac:dyDescent="0.2">
      <c r="B25" s="148"/>
      <c r="D25" s="189">
        <f>'Entrada Inver_Finan'!C48</f>
        <v>0</v>
      </c>
      <c r="E25" s="155"/>
      <c r="F25" s="144">
        <f>'Entrada Inver_Finan'!D48</f>
        <v>0</v>
      </c>
      <c r="G25" s="168" t="str">
        <f t="shared" si="0"/>
        <v/>
      </c>
    </row>
    <row r="26" spans="2:7" x14ac:dyDescent="0.2">
      <c r="B26" s="148"/>
      <c r="D26" s="189">
        <f>'Entrada Inver_Finan'!C49</f>
        <v>0</v>
      </c>
      <c r="E26" s="155"/>
      <c r="F26" s="144">
        <f>'Entrada Inver_Finan'!D49</f>
        <v>0</v>
      </c>
      <c r="G26" s="168" t="str">
        <f t="shared" si="0"/>
        <v/>
      </c>
    </row>
    <row r="27" spans="2:7" x14ac:dyDescent="0.2">
      <c r="B27" s="148"/>
      <c r="D27" s="189">
        <f>'Entrada Inver_Finan'!C50</f>
        <v>0</v>
      </c>
      <c r="E27" s="191"/>
      <c r="F27" s="144">
        <f>'Entrada Inver_Finan'!D50</f>
        <v>0</v>
      </c>
      <c r="G27" s="168" t="str">
        <f t="shared" si="0"/>
        <v/>
      </c>
    </row>
    <row r="28" spans="2:7" x14ac:dyDescent="0.2">
      <c r="B28" s="148"/>
      <c r="D28" s="189" t="str">
        <f>'Entrada Inver_Finan'!C52</f>
        <v>Fondo de comercio</v>
      </c>
      <c r="E28" s="191"/>
      <c r="F28" s="144">
        <f>'Entrada Inver_Finan'!D52</f>
        <v>0</v>
      </c>
      <c r="G28" s="168" t="str">
        <f t="shared" si="0"/>
        <v/>
      </c>
    </row>
    <row r="29" spans="2:7" x14ac:dyDescent="0.2">
      <c r="B29" s="148"/>
      <c r="D29" s="189">
        <f>'Entrada Inver_Finan'!C53</f>
        <v>0</v>
      </c>
      <c r="E29" s="191"/>
      <c r="F29" s="144">
        <f>'Entrada Inver_Finan'!D53</f>
        <v>0</v>
      </c>
      <c r="G29" s="168" t="str">
        <f t="shared" si="0"/>
        <v/>
      </c>
    </row>
    <row r="30" spans="2:7" x14ac:dyDescent="0.2">
      <c r="B30" s="148"/>
      <c r="D30" s="189">
        <f>'Entrada Inver_Finan'!C54</f>
        <v>0</v>
      </c>
      <c r="E30" s="191"/>
      <c r="F30" s="144">
        <f>'Entrada Inver_Finan'!D54</f>
        <v>0</v>
      </c>
      <c r="G30" s="168" t="str">
        <f t="shared" si="0"/>
        <v/>
      </c>
    </row>
    <row r="31" spans="2:7" x14ac:dyDescent="0.2">
      <c r="B31" s="148"/>
      <c r="C31" s="194" t="s">
        <v>342</v>
      </c>
      <c r="D31" s="175"/>
      <c r="E31" s="175"/>
      <c r="F31" s="180">
        <f>SUM(F19:F30)</f>
        <v>0</v>
      </c>
      <c r="G31" s="178" t="str">
        <f t="shared" si="0"/>
        <v/>
      </c>
    </row>
    <row r="32" spans="2:7" x14ac:dyDescent="0.2">
      <c r="B32" s="148"/>
      <c r="C32" s="27" t="s">
        <v>343</v>
      </c>
      <c r="F32" s="58">
        <f>IF(F45=0,0,".")</f>
        <v>0</v>
      </c>
      <c r="G32" s="161"/>
    </row>
    <row r="33" spans="2:7" x14ac:dyDescent="0.2">
      <c r="B33" s="148"/>
      <c r="D33" s="189" t="str">
        <f>'Entrada Inver_Finan'!C28</f>
        <v>Edificios/Locales</v>
      </c>
      <c r="E33" s="189"/>
      <c r="F33" s="190">
        <f>'Entrada Inver_Finan'!D28</f>
        <v>0</v>
      </c>
      <c r="G33" s="162" t="str">
        <f>IF($F$83&lt;&gt;0,F33/$F$83,"")</f>
        <v/>
      </c>
    </row>
    <row r="34" spans="2:7" x14ac:dyDescent="0.2">
      <c r="B34" s="148"/>
      <c r="D34" s="155" t="str">
        <f>'Entrada Inver_Finan'!C29</f>
        <v>Instalaciones / Acondicionamiento</v>
      </c>
      <c r="E34" s="155"/>
      <c r="F34" s="144">
        <f>'Entrada Inver_Finan'!D29</f>
        <v>0</v>
      </c>
      <c r="G34" s="168" t="str">
        <f>IF($F$83&lt;&gt;0,F34/$F$83,"")</f>
        <v/>
      </c>
    </row>
    <row r="35" spans="2:7" x14ac:dyDescent="0.2">
      <c r="B35" s="148"/>
      <c r="D35" s="155" t="str">
        <f>'Entrada Inver_Finan'!C30</f>
        <v>Maquinaria</v>
      </c>
      <c r="E35" s="155"/>
      <c r="F35" s="144">
        <f>'Entrada Inver_Finan'!D30</f>
        <v>0</v>
      </c>
      <c r="G35" s="168" t="str">
        <f>IF($F$83&lt;&gt;0,F35/$F$83,"")</f>
        <v/>
      </c>
    </row>
    <row r="36" spans="2:7" x14ac:dyDescent="0.2">
      <c r="B36" s="148"/>
      <c r="D36" s="155" t="str">
        <f>'Entrada Inver_Finan'!C31</f>
        <v>Utillaje, herramientas,...</v>
      </c>
      <c r="E36" s="155"/>
      <c r="F36" s="144">
        <f>'Entrada Inver_Finan'!D31</f>
        <v>0</v>
      </c>
      <c r="G36" s="168" t="str">
        <f t="shared" ref="G36:G44" si="1">IF($F$83&lt;&gt;0,F36/$F$83,"")</f>
        <v/>
      </c>
    </row>
    <row r="37" spans="2:7" x14ac:dyDescent="0.2">
      <c r="B37" s="148"/>
      <c r="D37" s="155" t="str">
        <f>'Entrada Inver_Finan'!C32</f>
        <v>Mobiliario</v>
      </c>
      <c r="E37" s="155"/>
      <c r="F37" s="144">
        <f>'Entrada Inver_Finan'!D32</f>
        <v>0</v>
      </c>
      <c r="G37" s="168" t="str">
        <f t="shared" si="1"/>
        <v/>
      </c>
    </row>
    <row r="38" spans="2:7" x14ac:dyDescent="0.2">
      <c r="B38" s="148"/>
      <c r="D38" s="155" t="str">
        <f>'Entrada Inver_Finan'!C33</f>
        <v>Elementos de transporte</v>
      </c>
      <c r="E38" s="155"/>
      <c r="F38" s="144">
        <f>'Entrada Inver_Finan'!D33</f>
        <v>0</v>
      </c>
      <c r="G38" s="168" t="str">
        <f t="shared" si="1"/>
        <v/>
      </c>
    </row>
    <row r="39" spans="2:7" x14ac:dyDescent="0.2">
      <c r="B39" s="148"/>
      <c r="D39" s="189" t="str">
        <f>'Entrada Inver_Finan'!C34</f>
        <v>Equipos informáticos</v>
      </c>
      <c r="E39" s="189"/>
      <c r="F39" s="190">
        <f>'Entrada Inver_Finan'!D34</f>
        <v>0</v>
      </c>
      <c r="G39" s="162" t="str">
        <f t="shared" si="1"/>
        <v/>
      </c>
    </row>
    <row r="40" spans="2:7" x14ac:dyDescent="0.2">
      <c r="B40" s="148"/>
      <c r="D40" s="155" t="str">
        <f>'Entrada Inver_Finan'!C35</f>
        <v>Otro inmovilizado material</v>
      </c>
      <c r="E40" s="155"/>
      <c r="F40" s="144">
        <f>'Entrada Inver_Finan'!D35</f>
        <v>0</v>
      </c>
      <c r="G40" s="168" t="str">
        <f t="shared" si="1"/>
        <v/>
      </c>
    </row>
    <row r="41" spans="2:7" x14ac:dyDescent="0.2">
      <c r="B41" s="148"/>
      <c r="D41" s="155">
        <f>'Entrada Inver_Finan'!C36</f>
        <v>0</v>
      </c>
      <c r="E41" s="155"/>
      <c r="F41" s="144">
        <f>'Entrada Inver_Finan'!D36</f>
        <v>0</v>
      </c>
      <c r="G41" s="168" t="str">
        <f t="shared" si="1"/>
        <v/>
      </c>
    </row>
    <row r="42" spans="2:7" x14ac:dyDescent="0.2">
      <c r="B42" s="148"/>
      <c r="D42" s="155">
        <f>'Entrada Inver_Finan'!C37</f>
        <v>0</v>
      </c>
      <c r="E42" s="155"/>
      <c r="F42" s="145">
        <f>'Entrada Inver_Finan'!D37</f>
        <v>0</v>
      </c>
      <c r="G42" s="168" t="str">
        <f t="shared" si="1"/>
        <v/>
      </c>
    </row>
    <row r="43" spans="2:7" x14ac:dyDescent="0.2">
      <c r="B43" s="148"/>
      <c r="D43" s="155" t="str">
        <f>'Entrada Inver_Finan'!C38</f>
        <v>Edificios /Locales de segunda mano</v>
      </c>
      <c r="E43" s="155"/>
      <c r="F43" s="145">
        <f>'Entrada Inver_Finan'!D38</f>
        <v>0</v>
      </c>
      <c r="G43" s="168" t="str">
        <f t="shared" si="1"/>
        <v/>
      </c>
    </row>
    <row r="44" spans="2:7" x14ac:dyDescent="0.2">
      <c r="B44" s="148"/>
      <c r="D44" s="191" t="str">
        <f>'Entrada Inver_Finan'!C39</f>
        <v>Solares sin edificar</v>
      </c>
      <c r="E44" s="191"/>
      <c r="F44" s="193">
        <f>'Entrada Inver_Finan'!D39</f>
        <v>0</v>
      </c>
      <c r="G44" s="173" t="str">
        <f t="shared" si="1"/>
        <v/>
      </c>
    </row>
    <row r="45" spans="2:7" x14ac:dyDescent="0.2">
      <c r="B45" s="148"/>
      <c r="C45" s="194" t="s">
        <v>344</v>
      </c>
      <c r="D45" s="175"/>
      <c r="E45" s="175"/>
      <c r="F45" s="180">
        <f>SUM(F33:F44)</f>
        <v>0</v>
      </c>
      <c r="G45" s="178" t="str">
        <f>IF($F$83&lt;&gt;0,F45/$F$83,"")</f>
        <v/>
      </c>
    </row>
    <row r="46" spans="2:7" x14ac:dyDescent="0.2">
      <c r="B46" s="148"/>
      <c r="C46" s="8" t="s">
        <v>345</v>
      </c>
      <c r="F46" s="58">
        <f>IF(F51=0,0,".")</f>
        <v>0</v>
      </c>
      <c r="G46" s="161"/>
    </row>
    <row r="47" spans="2:7" x14ac:dyDescent="0.2">
      <c r="B47" s="148"/>
      <c r="D47" s="189" t="str">
        <f>'Entrada Inver_Finan'!C57</f>
        <v>Fianza del local</v>
      </c>
      <c r="E47" s="189"/>
      <c r="F47" s="192">
        <f>'Entrada Inver_Finan'!D57</f>
        <v>0</v>
      </c>
      <c r="G47" s="162" t="str">
        <f>IF($F$83&lt;&gt;0,F47/$F$83,"")</f>
        <v/>
      </c>
    </row>
    <row r="48" spans="2:7" x14ac:dyDescent="0.2">
      <c r="B48" s="148"/>
      <c r="D48" s="191" t="str">
        <f>'Entrada Inver_Finan'!C58</f>
        <v>Otras fianzas o garantías prestadas</v>
      </c>
      <c r="E48" s="191"/>
      <c r="F48" s="193">
        <f>'Entrada Inver_Finan'!D58</f>
        <v>0</v>
      </c>
      <c r="G48" s="173" t="str">
        <f>IF($F$83&lt;&gt;0,F48/$F$83,"")</f>
        <v/>
      </c>
    </row>
    <row r="49" spans="2:24" x14ac:dyDescent="0.2">
      <c r="B49" s="148"/>
      <c r="D49" s="155" t="str">
        <f>'Entrada Inver_Finan'!C59</f>
        <v>Cuentas a plazo y otras inversiones</v>
      </c>
      <c r="E49" s="155"/>
      <c r="F49" s="145">
        <f>'Entrada Inver_Finan'!D59</f>
        <v>0</v>
      </c>
      <c r="G49" s="168" t="str">
        <f>IF($F$83&lt;&gt;0,F49/$F$83,"")</f>
        <v/>
      </c>
    </row>
    <row r="50" spans="2:24" x14ac:dyDescent="0.2">
      <c r="B50" s="148"/>
      <c r="D50" s="155">
        <f>'Entrada Inver_Finan'!C60</f>
        <v>0</v>
      </c>
      <c r="E50" s="155"/>
      <c r="F50" s="144">
        <f>'Entrada Inver_Finan'!D60</f>
        <v>0</v>
      </c>
      <c r="G50" s="168" t="str">
        <f>IF($F$83&lt;&gt;0,F50/$F$83,"")</f>
        <v/>
      </c>
    </row>
    <row r="51" spans="2:24" x14ac:dyDescent="0.2">
      <c r="B51" s="1138"/>
      <c r="C51" s="195" t="s">
        <v>346</v>
      </c>
      <c r="D51" s="175"/>
      <c r="E51" s="175"/>
      <c r="F51" s="180">
        <f>SUM(F47:F49)</f>
        <v>0</v>
      </c>
      <c r="G51" s="178" t="str">
        <f>IF($F$83&lt;&gt;0,F51/$F$83,"")</f>
        <v/>
      </c>
    </row>
    <row r="52" spans="2:24" ht="6.75" customHeight="1" x14ac:dyDescent="0.2">
      <c r="C52" s="8"/>
      <c r="F52" s="97"/>
      <c r="G52" s="143"/>
    </row>
    <row r="53" spans="2:24" ht="15" x14ac:dyDescent="0.25">
      <c r="B53" s="179" t="s">
        <v>347</v>
      </c>
      <c r="C53" s="198"/>
      <c r="D53" s="198"/>
      <c r="E53" s="198"/>
      <c r="F53" s="186">
        <f>F45+F31+F51</f>
        <v>0</v>
      </c>
      <c r="G53" s="178" t="str">
        <f>IF($F$83&lt;&gt;0,F53/$F$83,"")</f>
        <v/>
      </c>
      <c r="J53" s="58"/>
    </row>
    <row r="54" spans="2:24" ht="6" customHeight="1" x14ac:dyDescent="0.25">
      <c r="B54" s="157"/>
      <c r="C54" s="298"/>
      <c r="D54" s="298"/>
      <c r="E54" s="298"/>
      <c r="F54" s="157"/>
      <c r="G54" s="143"/>
      <c r="J54" s="58"/>
    </row>
    <row r="55" spans="2:24" ht="15" x14ac:dyDescent="0.25">
      <c r="B55" s="554" t="s">
        <v>348</v>
      </c>
      <c r="C55" s="595"/>
      <c r="D55" s="595"/>
      <c r="E55" s="595"/>
      <c r="F55" s="596">
        <f>IF(F57=0,0," ")</f>
        <v>0</v>
      </c>
      <c r="G55" s="555"/>
      <c r="J55" s="58"/>
    </row>
    <row r="56" spans="2:24" ht="15" x14ac:dyDescent="0.25">
      <c r="B56" s="597"/>
      <c r="C56" s="298"/>
      <c r="D56" s="189" t="str">
        <f>'Entrada Inver_Finan'!C67</f>
        <v>Formación del personal</v>
      </c>
      <c r="E56" s="189"/>
      <c r="F56" s="192">
        <f>'Entrada Inver_Finan'!D67</f>
        <v>0</v>
      </c>
      <c r="G56" s="162" t="str">
        <f>IF($F$83&lt;&gt;0,F56/$F$83,"")</f>
        <v/>
      </c>
      <c r="J56" s="58"/>
    </row>
    <row r="57" spans="2:24" ht="15" x14ac:dyDescent="0.25">
      <c r="B57" s="1267" t="s">
        <v>349</v>
      </c>
      <c r="C57" s="591"/>
      <c r="D57" s="591"/>
      <c r="E57" s="591"/>
      <c r="F57" s="592">
        <f>SUM(F56)</f>
        <v>0</v>
      </c>
      <c r="G57" s="1268" t="str">
        <f>IF($F$83&lt;&gt;0,F57/$F$83,"")</f>
        <v/>
      </c>
      <c r="J57" s="58"/>
    </row>
    <row r="58" spans="2:24" ht="5.25" customHeight="1" x14ac:dyDescent="0.2">
      <c r="B58" s="22"/>
      <c r="F58" s="61"/>
      <c r="G58" s="143"/>
      <c r="J58" s="58"/>
    </row>
    <row r="59" spans="2:24" ht="14.25" customHeight="1" x14ac:dyDescent="0.2">
      <c r="B59" s="554" t="s">
        <v>350</v>
      </c>
      <c r="C59" s="160"/>
      <c r="D59" s="160"/>
      <c r="E59" s="160"/>
      <c r="F59" s="305">
        <f>IF(F68=0,0," ")</f>
        <v>0</v>
      </c>
      <c r="G59" s="555"/>
      <c r="J59" s="58"/>
    </row>
    <row r="60" spans="2:24" ht="14.25" customHeight="1" x14ac:dyDescent="0.2">
      <c r="B60" s="556"/>
      <c r="D60" s="189" t="str">
        <f>'Entrada Inver_Finan'!C66</f>
        <v>Gastos de constitución</v>
      </c>
      <c r="E60" s="594"/>
      <c r="F60" s="190">
        <f>'Entrada Inver_Finan'!D66</f>
        <v>0</v>
      </c>
      <c r="G60" s="162" t="str">
        <f>IF($F$83&lt;&gt;0,F60/$F$83,"")</f>
        <v/>
      </c>
      <c r="J60" s="58"/>
    </row>
    <row r="61" spans="2:24" ht="11.25" customHeight="1" x14ac:dyDescent="0.2">
      <c r="B61" s="556"/>
      <c r="D61" s="189" t="str">
        <f>'Entrada Inver_Finan'!C68</f>
        <v>Estudios e informes previos</v>
      </c>
      <c r="E61" s="150"/>
      <c r="F61" s="190">
        <f>'Entrada Inver_Finan'!D68</f>
        <v>0</v>
      </c>
      <c r="G61" s="162" t="str">
        <f t="shared" ref="G61:G68" si="2">IF($F$83&lt;&gt;0,F61/$F$83,"")</f>
        <v/>
      </c>
      <c r="J61" s="58"/>
    </row>
    <row r="62" spans="2:24" ht="11.25" customHeight="1" x14ac:dyDescent="0.2">
      <c r="B62" s="556"/>
      <c r="D62" s="189" t="str">
        <f>'Entrada Inver_Finan'!C69</f>
        <v>Publicidad y propaganda</v>
      </c>
      <c r="E62" s="150"/>
      <c r="F62" s="190">
        <f>'Entrada Inver_Finan'!D69</f>
        <v>0</v>
      </c>
      <c r="G62" s="162" t="str">
        <f t="shared" si="2"/>
        <v/>
      </c>
      <c r="J62" s="58"/>
    </row>
    <row r="63" spans="2:24" ht="11.25" customHeight="1" x14ac:dyDescent="0.2">
      <c r="B63" s="556"/>
      <c r="D63" s="189" t="str">
        <f>'Entrada Inver_Finan'!C70</f>
        <v>Contratos de suministro: luz, agua, teléfono, etc.</v>
      </c>
      <c r="E63" s="150"/>
      <c r="F63" s="190">
        <f>'Entrada Inver_Finan'!D70</f>
        <v>0</v>
      </c>
      <c r="G63" s="162" t="str">
        <f t="shared" si="2"/>
        <v/>
      </c>
      <c r="J63" s="58"/>
    </row>
    <row r="64" spans="2:24" ht="11.25" customHeight="1" x14ac:dyDescent="0.2">
      <c r="B64" s="556"/>
      <c r="D64" s="189" t="str">
        <f>'Entrada Inver_Finan'!C71</f>
        <v>Derechos de traspaso</v>
      </c>
      <c r="E64" s="150"/>
      <c r="F64" s="190">
        <f>'Entrada Inver_Finan'!D71</f>
        <v>0</v>
      </c>
      <c r="G64" s="162" t="str">
        <f t="shared" si="2"/>
        <v/>
      </c>
      <c r="J64" s="58"/>
      <c r="K64" s="616" t="s">
        <v>351</v>
      </c>
      <c r="L64" s="616"/>
      <c r="M64" s="616"/>
      <c r="N64" s="616"/>
      <c r="O64" s="616"/>
      <c r="P64" s="616"/>
      <c r="Q64" s="616"/>
      <c r="R64" s="616"/>
      <c r="S64" s="616"/>
      <c r="T64" s="616"/>
      <c r="U64" s="616"/>
      <c r="V64" s="616"/>
      <c r="W64" s="616"/>
      <c r="X64" s="616"/>
    </row>
    <row r="65" spans="1:24" ht="11.25" customHeight="1" x14ac:dyDescent="0.2">
      <c r="B65" s="556"/>
      <c r="D65" s="189" t="str">
        <f>'Entrada Inver_Finan'!C72</f>
        <v>Material de oficina</v>
      </c>
      <c r="E65" s="150"/>
      <c r="F65" s="190">
        <f>'Entrada Inver_Finan'!D72</f>
        <v>0</v>
      </c>
      <c r="G65" s="162" t="str">
        <f t="shared" si="2"/>
        <v/>
      </c>
      <c r="J65" s="58"/>
      <c r="K65" s="616"/>
      <c r="L65" s="616"/>
      <c r="M65" s="616"/>
      <c r="N65" s="616"/>
      <c r="O65" s="616"/>
      <c r="P65" s="616"/>
      <c r="Q65" s="616"/>
      <c r="R65" s="616"/>
      <c r="S65" s="616"/>
      <c r="T65" s="616"/>
      <c r="U65" s="616"/>
      <c r="V65" s="616"/>
      <c r="W65" s="616"/>
      <c r="X65" s="616"/>
    </row>
    <row r="66" spans="1:24" ht="11.25" customHeight="1" x14ac:dyDescent="0.2">
      <c r="B66" s="556"/>
      <c r="D66" s="189" t="str">
        <f>'Entrada Inver_Finan'!C73</f>
        <v>Otros gastos de primer establecimiento</v>
      </c>
      <c r="E66" s="150"/>
      <c r="F66" s="190">
        <f>'Entrada Inver_Finan'!D73</f>
        <v>0</v>
      </c>
      <c r="G66" s="162" t="str">
        <f t="shared" si="2"/>
        <v/>
      </c>
      <c r="J66" s="58"/>
      <c r="K66" s="616"/>
      <c r="L66" s="616"/>
      <c r="M66" s="616"/>
      <c r="N66" s="616"/>
      <c r="O66" s="616"/>
      <c r="P66" s="616">
        <f>'Datos generales'!$P$10+1</f>
        <v>2021</v>
      </c>
      <c r="Q66" s="616"/>
      <c r="R66" s="616"/>
      <c r="S66" s="616"/>
      <c r="T66" s="616"/>
      <c r="U66" s="616"/>
      <c r="V66" s="616"/>
      <c r="W66" s="616"/>
      <c r="X66" s="616"/>
    </row>
    <row r="67" spans="1:24" ht="14.25" customHeight="1" x14ac:dyDescent="0.2">
      <c r="B67" s="556"/>
      <c r="D67" s="189">
        <f>'Entrada Inver_Finan'!C74</f>
        <v>0</v>
      </c>
      <c r="E67" s="150"/>
      <c r="F67" s="190">
        <f>'Entrada Inver_Finan'!D74</f>
        <v>0</v>
      </c>
      <c r="G67" s="162" t="str">
        <f t="shared" si="2"/>
        <v/>
      </c>
      <c r="J67" s="58"/>
      <c r="K67" s="616"/>
      <c r="L67" s="1018"/>
      <c r="M67" s="616"/>
      <c r="N67" s="1019"/>
      <c r="O67" s="616"/>
      <c r="P67" s="616"/>
      <c r="Q67" s="616"/>
      <c r="R67" s="616"/>
      <c r="S67" s="616"/>
      <c r="T67" s="616"/>
      <c r="U67" s="616"/>
      <c r="V67" s="616"/>
      <c r="W67" s="616"/>
      <c r="X67" s="616"/>
    </row>
    <row r="68" spans="1:24" s="593" customFormat="1" ht="15" customHeight="1" x14ac:dyDescent="0.25">
      <c r="A68" s="88"/>
      <c r="B68" s="1267" t="s">
        <v>352</v>
      </c>
      <c r="C68" s="591"/>
      <c r="D68" s="591"/>
      <c r="E68" s="591"/>
      <c r="F68" s="592">
        <f>SUM(F60:F67)</f>
        <v>0</v>
      </c>
      <c r="G68" s="1268" t="str">
        <f t="shared" si="2"/>
        <v/>
      </c>
      <c r="H68" s="88"/>
      <c r="I68" s="88"/>
      <c r="J68" s="101"/>
      <c r="K68" s="616"/>
      <c r="L68" s="616"/>
      <c r="M68" s="616"/>
      <c r="N68" s="616"/>
      <c r="O68" s="616"/>
      <c r="P68" s="616"/>
      <c r="Q68" s="616"/>
      <c r="R68" s="616"/>
      <c r="S68" s="616"/>
      <c r="T68" s="616"/>
      <c r="U68" s="616"/>
      <c r="V68" s="616"/>
      <c r="W68" s="616"/>
      <c r="X68" s="616"/>
    </row>
    <row r="69" spans="1:24" ht="5.25" customHeight="1" x14ac:dyDescent="0.2">
      <c r="B69" s="22"/>
      <c r="F69" s="61"/>
      <c r="G69" s="143"/>
      <c r="J69" s="58"/>
      <c r="K69" s="616"/>
      <c r="L69" s="616"/>
      <c r="M69" s="616"/>
      <c r="N69" s="616"/>
      <c r="O69" s="616"/>
      <c r="P69" s="616"/>
      <c r="Q69" s="616"/>
      <c r="R69" s="616"/>
      <c r="S69" s="616"/>
      <c r="T69" s="616"/>
      <c r="U69" s="616"/>
      <c r="V69" s="616"/>
      <c r="W69" s="616"/>
      <c r="X69" s="616"/>
    </row>
    <row r="70" spans="1:24" ht="15" x14ac:dyDescent="0.25">
      <c r="B70" s="199" t="s">
        <v>353</v>
      </c>
      <c r="C70" s="160"/>
      <c r="D70" s="160"/>
      <c r="E70" s="160"/>
      <c r="F70" s="165">
        <f>IF(F81=0,0,".")</f>
        <v>0</v>
      </c>
      <c r="G70" s="166"/>
      <c r="K70" s="616"/>
      <c r="L70" s="616"/>
      <c r="M70" s="616"/>
      <c r="N70" s="616"/>
      <c r="O70" s="616"/>
      <c r="P70" s="616"/>
      <c r="Q70" s="616"/>
      <c r="R70" s="616"/>
      <c r="S70" s="616"/>
      <c r="T70" s="616"/>
      <c r="U70" s="616"/>
      <c r="V70" s="616"/>
      <c r="W70" s="616"/>
      <c r="X70" s="616"/>
    </row>
    <row r="71" spans="1:24" x14ac:dyDescent="0.2">
      <c r="B71" s="148"/>
      <c r="C71" s="189" t="str">
        <f>'Entrada Inver_Finan'!C79</f>
        <v>Producto o servicio 1</v>
      </c>
      <c r="D71" s="150"/>
      <c r="E71" s="150"/>
      <c r="F71" s="190">
        <f>IF('Datos generales'!$D$10='Previsión de negocio'!G234,'Previsión de negocio'!F234,0)</f>
        <v>0</v>
      </c>
      <c r="G71" s="162" t="str">
        <f t="shared" ref="G71:G80" si="3">IF($F$83&lt;&gt;0,F71/$F$83,"")</f>
        <v/>
      </c>
      <c r="K71" s="1016"/>
      <c r="L71" s="616"/>
      <c r="M71" s="616"/>
      <c r="N71" s="616"/>
      <c r="O71" s="616"/>
      <c r="P71" s="616"/>
      <c r="Q71" s="616"/>
      <c r="R71" s="616"/>
      <c r="S71" s="616"/>
      <c r="T71" s="616"/>
      <c r="U71" s="616"/>
      <c r="V71" s="616"/>
      <c r="W71" s="616"/>
      <c r="X71" s="616"/>
    </row>
    <row r="72" spans="1:24" x14ac:dyDescent="0.2">
      <c r="B72" s="148"/>
      <c r="C72" s="155" t="str">
        <f>'Entrada Inver_Finan'!C80</f>
        <v>Producto o servicio 2</v>
      </c>
      <c r="D72" s="156"/>
      <c r="E72" s="156"/>
      <c r="F72" s="190">
        <f>IF('Datos generales'!$D$10='Previsión de negocio'!G235,'Previsión de negocio'!F235,0)</f>
        <v>0</v>
      </c>
      <c r="G72" s="168" t="str">
        <f t="shared" si="3"/>
        <v/>
      </c>
      <c r="K72" s="1016"/>
      <c r="L72" s="616"/>
      <c r="M72" s="616"/>
      <c r="N72" s="616"/>
      <c r="O72" s="616"/>
      <c r="P72" s="616"/>
      <c r="Q72" s="616"/>
      <c r="R72" s="616"/>
      <c r="S72" s="616"/>
      <c r="T72" s="616"/>
      <c r="U72" s="616"/>
      <c r="V72" s="616"/>
      <c r="W72" s="616"/>
      <c r="X72" s="616"/>
    </row>
    <row r="73" spans="1:24" x14ac:dyDescent="0.2">
      <c r="B73" s="148"/>
      <c r="C73" s="155" t="str">
        <f>'Entrada Inver_Finan'!C81</f>
        <v>Producto o servicio 3</v>
      </c>
      <c r="D73" s="156"/>
      <c r="E73" s="156"/>
      <c r="F73" s="190">
        <f>IF('Datos generales'!$D$10='Previsión de negocio'!G236,'Previsión de negocio'!F236,0)</f>
        <v>0</v>
      </c>
      <c r="G73" s="168" t="str">
        <f t="shared" si="3"/>
        <v/>
      </c>
      <c r="K73" s="1016"/>
      <c r="L73" s="616"/>
      <c r="M73" s="616"/>
      <c r="N73" s="616"/>
      <c r="O73" s="616"/>
      <c r="P73" s="616"/>
      <c r="Q73" s="616"/>
      <c r="R73" s="616"/>
      <c r="S73" s="616"/>
      <c r="T73" s="616"/>
      <c r="U73" s="616"/>
      <c r="V73" s="616"/>
      <c r="W73" s="616"/>
      <c r="X73" s="616"/>
    </row>
    <row r="74" spans="1:24" x14ac:dyDescent="0.2">
      <c r="B74" s="148"/>
      <c r="C74" s="155">
        <f>'Entrada Inver_Finan'!C82</f>
        <v>0</v>
      </c>
      <c r="D74" s="156"/>
      <c r="E74" s="156"/>
      <c r="F74" s="190">
        <f>IF('Datos generales'!$D$10='Previsión de negocio'!G237,'Previsión de negocio'!F237,0)</f>
        <v>0</v>
      </c>
      <c r="G74" s="168" t="str">
        <f t="shared" si="3"/>
        <v/>
      </c>
      <c r="K74" s="1016"/>
      <c r="L74" s="616"/>
      <c r="M74" s="616"/>
      <c r="N74" s="616"/>
      <c r="O74" s="616"/>
      <c r="P74" s="616"/>
      <c r="Q74" s="616"/>
      <c r="R74" s="616"/>
      <c r="S74" s="616"/>
      <c r="T74" s="616"/>
      <c r="U74" s="616"/>
      <c r="V74" s="616"/>
      <c r="W74" s="616"/>
      <c r="X74" s="616"/>
    </row>
    <row r="75" spans="1:24" x14ac:dyDescent="0.2">
      <c r="B75" s="148"/>
      <c r="C75" s="155">
        <f>'Entrada Inver_Finan'!C83</f>
        <v>0</v>
      </c>
      <c r="D75" s="156"/>
      <c r="E75" s="156"/>
      <c r="F75" s="190">
        <f>IF('Datos generales'!$D$10='Previsión de negocio'!G238,'Previsión de negocio'!F238,0)</f>
        <v>0</v>
      </c>
      <c r="G75" s="168" t="str">
        <f t="shared" si="3"/>
        <v/>
      </c>
      <c r="K75" s="1016"/>
      <c r="L75" s="616"/>
      <c r="M75" s="616"/>
      <c r="N75" s="616"/>
      <c r="O75" s="616"/>
      <c r="P75" s="616"/>
      <c r="Q75" s="616"/>
      <c r="R75" s="616"/>
      <c r="S75" s="616"/>
      <c r="T75" s="616"/>
      <c r="U75" s="616"/>
      <c r="V75" s="616"/>
      <c r="W75" s="616"/>
      <c r="X75" s="616"/>
    </row>
    <row r="76" spans="1:24" x14ac:dyDescent="0.2">
      <c r="B76" s="148"/>
      <c r="C76" s="155">
        <f>'Entrada Inver_Finan'!C84</f>
        <v>0</v>
      </c>
      <c r="D76" s="156"/>
      <c r="E76" s="156"/>
      <c r="F76" s="190">
        <f>IF('Datos generales'!$D$10='Previsión de negocio'!G239,'Previsión de negocio'!F239,0)</f>
        <v>0</v>
      </c>
      <c r="G76" s="168" t="str">
        <f t="shared" si="3"/>
        <v/>
      </c>
      <c r="K76" s="1016"/>
      <c r="L76" s="616"/>
      <c r="M76" s="616"/>
      <c r="N76" s="616"/>
      <c r="O76" s="616"/>
      <c r="P76" s="616"/>
      <c r="Q76" s="616"/>
      <c r="R76" s="616"/>
      <c r="S76" s="616"/>
      <c r="T76" s="616"/>
      <c r="U76" s="616"/>
      <c r="V76" s="616"/>
      <c r="W76" s="616"/>
      <c r="X76" s="616"/>
    </row>
    <row r="77" spans="1:24" x14ac:dyDescent="0.2">
      <c r="B77" s="148"/>
      <c r="C77" s="155">
        <f>'Entrada Inver_Finan'!C85</f>
        <v>0</v>
      </c>
      <c r="D77" s="156"/>
      <c r="E77" s="156"/>
      <c r="F77" s="190">
        <f>IF('Datos generales'!$D$10='Previsión de negocio'!G240,'Previsión de negocio'!F240,0)</f>
        <v>0</v>
      </c>
      <c r="G77" s="168" t="str">
        <f t="shared" si="3"/>
        <v/>
      </c>
      <c r="K77" s="1016"/>
      <c r="L77" s="616"/>
      <c r="M77" s="616"/>
      <c r="N77" s="616"/>
      <c r="O77" s="616"/>
      <c r="P77" s="616"/>
      <c r="Q77" s="616"/>
      <c r="R77" s="616"/>
      <c r="S77" s="616"/>
      <c r="T77" s="616"/>
      <c r="U77" s="616"/>
      <c r="V77" s="616"/>
      <c r="W77" s="616"/>
      <c r="X77" s="616"/>
    </row>
    <row r="78" spans="1:24" x14ac:dyDescent="0.2">
      <c r="B78" s="148"/>
      <c r="C78" s="155">
        <f>'Entrada Inver_Finan'!C86</f>
        <v>0</v>
      </c>
      <c r="D78" s="156"/>
      <c r="E78" s="156"/>
      <c r="F78" s="190">
        <f>IF('Datos generales'!$D$10='Previsión de negocio'!G241,'Previsión de negocio'!F241,0)</f>
        <v>0</v>
      </c>
      <c r="G78" s="168" t="str">
        <f t="shared" si="3"/>
        <v/>
      </c>
      <c r="K78" s="1134" t="s">
        <v>354</v>
      </c>
      <c r="L78" s="953"/>
      <c r="M78" s="953"/>
      <c r="N78" s="7"/>
      <c r="O78" s="1134">
        <f>'Entrada Inver_Finan'!D134</f>
        <v>0</v>
      </c>
      <c r="P78" s="953"/>
      <c r="Q78" s="616"/>
      <c r="R78" s="616"/>
      <c r="S78" s="616"/>
      <c r="T78" s="616"/>
      <c r="U78" s="616"/>
      <c r="V78" s="616"/>
      <c r="W78" s="616"/>
      <c r="X78" s="616"/>
    </row>
    <row r="79" spans="1:24" x14ac:dyDescent="0.2">
      <c r="B79" s="148"/>
      <c r="C79" s="155">
        <f>'Entrada Inver_Finan'!C87</f>
        <v>0</v>
      </c>
      <c r="D79" s="156"/>
      <c r="E79" s="156"/>
      <c r="F79" s="190">
        <f>IF('Datos generales'!$D$10='Previsión de negocio'!G242,'Previsión de negocio'!F242,0)</f>
        <v>0</v>
      </c>
      <c r="G79" s="168" t="str">
        <f t="shared" si="3"/>
        <v/>
      </c>
      <c r="K79" s="1134" t="s">
        <v>355</v>
      </c>
      <c r="L79" s="953"/>
      <c r="M79" s="953"/>
      <c r="N79" s="953"/>
      <c r="O79" s="953">
        <f>O78*'Datos generales'!D16</f>
        <v>0</v>
      </c>
      <c r="P79" s="953"/>
      <c r="Q79" s="616"/>
      <c r="R79" s="616"/>
      <c r="S79" s="616"/>
      <c r="T79" s="616"/>
      <c r="U79" s="616"/>
      <c r="V79" s="616"/>
      <c r="W79" s="616"/>
      <c r="X79" s="616"/>
    </row>
    <row r="80" spans="1:24" x14ac:dyDescent="0.2">
      <c r="B80" s="148"/>
      <c r="C80" s="185">
        <f>'Entrada Inver_Finan'!C88</f>
        <v>0</v>
      </c>
      <c r="F80" s="190">
        <f>IF('Datos generales'!$D$10='Previsión de negocio'!G243,'Previsión de negocio'!F243,0)</f>
        <v>0</v>
      </c>
      <c r="G80" s="167" t="str">
        <f t="shared" si="3"/>
        <v/>
      </c>
      <c r="K80" s="1134" t="s">
        <v>356</v>
      </c>
      <c r="L80" s="953"/>
      <c r="M80" s="953"/>
      <c r="N80" s="953"/>
      <c r="O80" s="1134">
        <f>SUM(O78:O79)</f>
        <v>0</v>
      </c>
      <c r="P80" s="953"/>
      <c r="Q80" s="616"/>
      <c r="R80" s="616"/>
      <c r="S80" s="616"/>
      <c r="T80" s="616"/>
      <c r="U80" s="616"/>
      <c r="V80" s="616"/>
      <c r="W80" s="616"/>
      <c r="X80" s="616"/>
    </row>
    <row r="81" spans="2:24" ht="15" x14ac:dyDescent="0.25">
      <c r="B81" s="200" t="s">
        <v>357</v>
      </c>
      <c r="C81" s="175"/>
      <c r="D81" s="175"/>
      <c r="E81" s="175"/>
      <c r="F81" s="201">
        <f>SUM(F71:F80)</f>
        <v>0</v>
      </c>
      <c r="G81" s="178" t="str">
        <f>IF($F$83&lt;&gt;0,F81/$F$83,"")</f>
        <v/>
      </c>
      <c r="K81" s="1017"/>
      <c r="L81" s="1017"/>
      <c r="M81" s="1017"/>
      <c r="N81" s="1017"/>
      <c r="O81" s="1017"/>
      <c r="P81" s="1017"/>
      <c r="Q81" s="1017"/>
      <c r="R81" s="1017"/>
      <c r="S81" s="1017"/>
      <c r="T81" s="1017"/>
      <c r="U81" s="1017"/>
      <c r="V81" s="1017"/>
      <c r="W81" s="1017"/>
      <c r="X81" s="1017"/>
    </row>
    <row r="82" spans="2:24" ht="6" customHeight="1" thickBot="1" x14ac:dyDescent="0.25">
      <c r="B82" s="1"/>
      <c r="F82" s="61"/>
      <c r="G82" s="143"/>
    </row>
    <row r="83" spans="2:24" s="75" customFormat="1" ht="18.75" thickBot="1" x14ac:dyDescent="0.3">
      <c r="B83" s="277" t="s">
        <v>358</v>
      </c>
      <c r="C83" s="278"/>
      <c r="D83" s="278"/>
      <c r="E83" s="278"/>
      <c r="F83" s="292">
        <f>F53+F57+F68+F81</f>
        <v>0</v>
      </c>
      <c r="G83" s="280" t="str">
        <f>IF($F$83&lt;&gt;0,F83/$F$83,"")</f>
        <v/>
      </c>
      <c r="J83" s="85"/>
    </row>
    <row r="84" spans="2:24" x14ac:dyDescent="0.2">
      <c r="D84" s="7"/>
      <c r="E84" s="7"/>
      <c r="F84" s="9"/>
      <c r="G84" s="10"/>
    </row>
    <row r="85" spans="2:24" ht="15" x14ac:dyDescent="0.25">
      <c r="D85" s="7"/>
      <c r="E85" s="7"/>
      <c r="F85" s="9"/>
      <c r="G85" s="10"/>
      <c r="K85" s="1002" t="s">
        <v>359</v>
      </c>
      <c r="L85" s="1269"/>
      <c r="M85" s="1269"/>
      <c r="N85" s="1269"/>
      <c r="O85" s="1270">
        <f>IF(O89=0,0,".")</f>
        <v>0</v>
      </c>
      <c r="P85" s="1270"/>
      <c r="Q85" s="1271"/>
    </row>
    <row r="86" spans="2:24" ht="9.75" customHeight="1" x14ac:dyDescent="0.25">
      <c r="B86" s="115"/>
      <c r="C86" s="2"/>
      <c r="F86" s="9"/>
      <c r="G86" s="10"/>
      <c r="K86" s="1272"/>
      <c r="L86" s="1003" t="s">
        <v>360</v>
      </c>
      <c r="M86" s="1273"/>
      <c r="N86" s="1273"/>
      <c r="O86" s="1004">
        <f>(F53-F43-F44-F51-F103-F94)*'Datos generales'!D19</f>
        <v>0</v>
      </c>
      <c r="P86" s="1004"/>
      <c r="Q86" s="1005" t="str">
        <f>IF($F$83&lt;&gt;0,O86/$F$83,"")</f>
        <v/>
      </c>
    </row>
    <row r="87" spans="2:24" ht="18" x14ac:dyDescent="0.25">
      <c r="B87" s="159" t="s">
        <v>361</v>
      </c>
      <c r="C87" s="2"/>
      <c r="F87" s="9"/>
      <c r="G87" s="10"/>
      <c r="K87" s="1272"/>
      <c r="L87" s="1006" t="s">
        <v>362</v>
      </c>
      <c r="M87" s="1274"/>
      <c r="N87" s="1274"/>
      <c r="O87" s="1004">
        <f>F68*'Datos generales'!D19</f>
        <v>0</v>
      </c>
      <c r="P87" s="1004"/>
      <c r="Q87" s="1005" t="str">
        <f>IF($F$83&lt;&gt;0,O87/$F$83,"")</f>
        <v/>
      </c>
    </row>
    <row r="88" spans="2:24" ht="10.5" customHeight="1" x14ac:dyDescent="0.25">
      <c r="C88" s="28"/>
      <c r="F88" s="9"/>
      <c r="G88" s="7"/>
      <c r="K88" s="1272"/>
      <c r="L88" s="953" t="s">
        <v>363</v>
      </c>
      <c r="M88" s="616"/>
      <c r="N88" s="616"/>
      <c r="O88" s="1007">
        <f>F81*'Datos generales'!$D$16</f>
        <v>0</v>
      </c>
      <c r="P88" s="1007"/>
      <c r="Q88" s="1008" t="str">
        <f>IF($F$83&lt;&gt;0,O88/$F$83,"")</f>
        <v/>
      </c>
    </row>
    <row r="89" spans="2:24" ht="15" x14ac:dyDescent="0.25">
      <c r="B89" s="1361" t="s">
        <v>170</v>
      </c>
      <c r="C89" s="1362"/>
      <c r="D89" s="1362"/>
      <c r="E89" s="1362"/>
      <c r="F89" s="1365" t="s">
        <v>364</v>
      </c>
      <c r="G89" s="1366"/>
      <c r="K89" s="1009" t="s">
        <v>365</v>
      </c>
      <c r="L89" s="1275"/>
      <c r="M89" s="1275"/>
      <c r="N89" s="1275"/>
      <c r="O89" s="1010">
        <f>SUM(O86:O88)</f>
        <v>0</v>
      </c>
      <c r="P89" s="1010"/>
      <c r="Q89" s="1011" t="str">
        <f>IF($F$83&lt;&gt;0,O89/$F$83,"")</f>
        <v/>
      </c>
    </row>
    <row r="90" spans="2:24" ht="22.5" x14ac:dyDescent="0.2">
      <c r="B90" s="1363"/>
      <c r="C90" s="1364"/>
      <c r="D90" s="1364"/>
      <c r="E90" s="1364"/>
      <c r="F90" s="285" t="s">
        <v>176</v>
      </c>
      <c r="G90" s="286" t="s">
        <v>366</v>
      </c>
      <c r="L90" s="953" t="s">
        <v>367</v>
      </c>
      <c r="O90" s="9">
        <f>O88+F81</f>
        <v>0</v>
      </c>
    </row>
    <row r="91" spans="2:24" ht="4.5" customHeight="1" x14ac:dyDescent="0.2">
      <c r="B91" s="152"/>
      <c r="C91" s="152"/>
      <c r="D91" s="152"/>
      <c r="E91" s="152"/>
      <c r="F91" s="187"/>
      <c r="G91" s="188"/>
    </row>
    <row r="92" spans="2:24" ht="15" x14ac:dyDescent="0.25">
      <c r="B92" s="146" t="str">
        <f>'Entrada Inver_Finan'!C98</f>
        <v>RECURSOS PROPIOS:</v>
      </c>
      <c r="C92" s="147"/>
      <c r="D92" s="147"/>
      <c r="E92" s="160"/>
      <c r="F92" s="165">
        <f>IF(F98=0,0," ")</f>
        <v>0</v>
      </c>
      <c r="G92" s="166"/>
    </row>
    <row r="93" spans="2:24" x14ac:dyDescent="0.2">
      <c r="B93" s="148"/>
      <c r="C93" s="149" t="str">
        <f>'Entrada Inver_Finan'!C99</f>
        <v>Aportaciones dinerarias</v>
      </c>
      <c r="D93" s="150"/>
      <c r="E93" s="150"/>
      <c r="F93" s="151">
        <f>'Entrada Inver_Finan'!D99</f>
        <v>0</v>
      </c>
      <c r="G93" s="162" t="str">
        <f>IF($F$83&lt;&gt;0,F93/$F$83,"")</f>
        <v/>
      </c>
    </row>
    <row r="94" spans="2:24" x14ac:dyDescent="0.2">
      <c r="B94" s="148"/>
      <c r="C94" s="149" t="str">
        <f>'Entrada Inver_Finan'!C100</f>
        <v>Aportaciones no dinerarias</v>
      </c>
      <c r="D94" s="156"/>
      <c r="E94" s="156"/>
      <c r="F94" s="151">
        <f>'Entrada Inver_Finan'!D100</f>
        <v>0</v>
      </c>
      <c r="G94" s="162" t="str">
        <f>IF($F$83&lt;&gt;0,F94/$F$83,"")</f>
        <v/>
      </c>
    </row>
    <row r="95" spans="2:24" x14ac:dyDescent="0.2">
      <c r="B95" s="148"/>
      <c r="C95" s="149" t="str">
        <f>'Entrada Inver_Finan'!C101</f>
        <v>Capital</v>
      </c>
      <c r="D95" s="156"/>
      <c r="E95" s="156"/>
      <c r="F95" s="169">
        <f>'Entrada Inver_Finan'!D101</f>
        <v>0</v>
      </c>
      <c r="G95" s="162" t="str">
        <f>IF($F$83&lt;&gt;0,F95/$F$83,"")</f>
        <v/>
      </c>
    </row>
    <row r="96" spans="2:24" x14ac:dyDescent="0.2">
      <c r="B96" s="148"/>
      <c r="C96" s="149" t="str">
        <f>'Entrada Inver_Finan'!C102</f>
        <v>Subvenciones</v>
      </c>
      <c r="D96" s="156"/>
      <c r="E96" s="156"/>
      <c r="F96" s="169">
        <f>'Entrada Inver_Finan'!D102</f>
        <v>0</v>
      </c>
      <c r="G96" s="162" t="str">
        <f>IF($F$83&lt;&gt;0,F96/$F$83,"")</f>
        <v/>
      </c>
    </row>
    <row r="97" spans="2:7" x14ac:dyDescent="0.2">
      <c r="B97" s="148"/>
      <c r="C97" s="149" t="str">
        <f>'Entrada Inver_Finan'!C103</f>
        <v>Donaciones</v>
      </c>
      <c r="D97" s="156"/>
      <c r="E97" s="156"/>
      <c r="F97" s="169">
        <f>'Entrada Inver_Finan'!D103</f>
        <v>0</v>
      </c>
      <c r="G97" s="162" t="str">
        <f>IF($F$83&lt;&gt;0,F97/$F$83,"")</f>
        <v/>
      </c>
    </row>
    <row r="98" spans="2:7" ht="15" x14ac:dyDescent="0.25">
      <c r="B98" s="179" t="str">
        <f>'Entrada Inver_Finan'!C104</f>
        <v>TOTAL RECURSOS PROPIOS:</v>
      </c>
      <c r="C98" s="175"/>
      <c r="D98" s="175"/>
      <c r="E98" s="175"/>
      <c r="F98" s="186">
        <f>SUM(F95:F97)</f>
        <v>0</v>
      </c>
      <c r="G98" s="184" t="str">
        <f>IF(F$116=0,"",F98/$F$116)</f>
        <v/>
      </c>
    </row>
    <row r="99" spans="2:7" ht="4.5" customHeight="1" x14ac:dyDescent="0.25">
      <c r="B99" s="157"/>
      <c r="F99" s="157"/>
      <c r="G99" s="158"/>
    </row>
    <row r="100" spans="2:7" ht="15" x14ac:dyDescent="0.25">
      <c r="B100" s="164" t="s">
        <v>234</v>
      </c>
      <c r="C100" s="160"/>
      <c r="D100" s="160"/>
      <c r="E100" s="160"/>
      <c r="F100" s="165">
        <f>IF(F114=0,0," ")</f>
        <v>0</v>
      </c>
      <c r="G100" s="166"/>
    </row>
    <row r="101" spans="2:7" x14ac:dyDescent="0.2">
      <c r="B101" s="148"/>
      <c r="C101" s="8" t="s">
        <v>368</v>
      </c>
      <c r="F101" s="58">
        <f>IF(F106=0,0," ")</f>
        <v>0</v>
      </c>
      <c r="G101" s="161"/>
    </row>
    <row r="102" spans="2:7" x14ac:dyDescent="0.2">
      <c r="B102" s="148"/>
      <c r="D102" s="149" t="str">
        <f>'Entrada Inver_Finan'!C108</f>
        <v>Préstamos a largo plazo financieros:</v>
      </c>
      <c r="E102" s="149"/>
      <c r="F102" s="169">
        <f>'Entrada Inver_Finan'!D112+'Entrada Inver_Finan'!K109+'Entrada Inver_Finan'!K110+'Entrada Inver_Finan'!K111</f>
        <v>0</v>
      </c>
      <c r="G102" s="162" t="str">
        <f>IF($F$83&lt;&gt;0,F102/$F$83,"")</f>
        <v/>
      </c>
    </row>
    <row r="103" spans="2:7" x14ac:dyDescent="0.2">
      <c r="B103" s="148"/>
      <c r="D103" s="149" t="str">
        <f>'Entrada Inver_Finan'!C113</f>
        <v>Arrendamientos financieros (Leasing)</v>
      </c>
      <c r="E103" s="149"/>
      <c r="F103" s="169">
        <f>'Entrada Inver_Finan'!D117</f>
        <v>0</v>
      </c>
      <c r="G103" s="162" t="str">
        <f>IF($F$83&lt;&gt;0,F103/$F$83,"")</f>
        <v/>
      </c>
    </row>
    <row r="104" spans="2:7" x14ac:dyDescent="0.2">
      <c r="B104" s="148"/>
      <c r="D104" s="1239" t="str">
        <f>'Entrada Inver_Finan'!C119</f>
        <v>Deudas con socios a largo plazo</v>
      </c>
      <c r="E104" s="1239"/>
      <c r="F104" s="170">
        <f>'Entrada Inver_Finan'!I119</f>
        <v>0</v>
      </c>
      <c r="G104" s="168" t="str">
        <f>IF($F$83&lt;&gt;0,F104/$F$83,"")</f>
        <v/>
      </c>
    </row>
    <row r="105" spans="2:7" x14ac:dyDescent="0.2">
      <c r="B105" s="148"/>
      <c r="D105" s="171" t="str">
        <f>'Entrada Inver_Finan'!C120</f>
        <v>Otros acreedores a largo plazo</v>
      </c>
      <c r="E105" s="171"/>
      <c r="F105" s="172">
        <f>'Entrada Inver_Finan'!I120</f>
        <v>0</v>
      </c>
      <c r="G105" s="173" t="str">
        <f>IF($F$83&lt;&gt;0,F105/$F$83,"")</f>
        <v/>
      </c>
    </row>
    <row r="106" spans="2:7" x14ac:dyDescent="0.2">
      <c r="B106" s="148"/>
      <c r="C106" s="174" t="str">
        <f>'Entrada Inver_Finan'!C122</f>
        <v>TOTAL CREDITOS A LARGO PLAZO:</v>
      </c>
      <c r="D106" s="175"/>
      <c r="E106" s="175"/>
      <c r="F106" s="176">
        <f>F102+F103+F104+F105</f>
        <v>0</v>
      </c>
      <c r="G106" s="177" t="str">
        <f>IF($F$83&lt;&gt;0,F106/$F$83,"")</f>
        <v/>
      </c>
    </row>
    <row r="107" spans="2:7" x14ac:dyDescent="0.2">
      <c r="B107" s="148"/>
      <c r="C107" s="8" t="str">
        <f>'Entrada Inver_Finan'!C124</f>
        <v>CREDITOS A CORTO PLAZO:</v>
      </c>
      <c r="F107" s="58">
        <f>IF(F112=0,0,".")</f>
        <v>0</v>
      </c>
      <c r="G107" s="161"/>
    </row>
    <row r="108" spans="2:7" x14ac:dyDescent="0.2">
      <c r="B108" s="148"/>
      <c r="D108" s="149" t="str">
        <f>'Entrada Inver_Finan'!C125</f>
        <v>Préstamos a corto plazo financieros:</v>
      </c>
      <c r="E108" s="149"/>
      <c r="F108" s="169">
        <f>'Entrada Inver_Finan'!D129</f>
        <v>0</v>
      </c>
      <c r="G108" s="182" t="str">
        <f>IF($F$83&lt;&gt;0,F108/$F$83,"")</f>
        <v/>
      </c>
    </row>
    <row r="109" spans="2:7" ht="25.5" customHeight="1" x14ac:dyDescent="0.2">
      <c r="B109" s="148"/>
      <c r="D109" s="1358" t="s">
        <v>369</v>
      </c>
      <c r="E109" s="1359"/>
      <c r="F109" s="1225">
        <f>O80</f>
        <v>0</v>
      </c>
      <c r="G109" s="183" t="str">
        <f>IF($F$83&lt;&gt;0,F109/$F$83,"")</f>
        <v/>
      </c>
    </row>
    <row r="110" spans="2:7" x14ac:dyDescent="0.2">
      <c r="B110" s="148"/>
      <c r="D110" s="1239" t="str">
        <f>'Entrada Inver_Finan'!C136</f>
        <v>Deudas con socios a corto plazo.</v>
      </c>
      <c r="E110" s="156"/>
      <c r="F110" s="170">
        <f>'Entrada Inver_Finan'!D136</f>
        <v>0</v>
      </c>
      <c r="G110" s="168" t="str">
        <f>IF($F$83&lt;&gt;0,F110/$F$83,"")</f>
        <v/>
      </c>
    </row>
    <row r="111" spans="2:7" x14ac:dyDescent="0.2">
      <c r="B111" s="148"/>
      <c r="D111" s="1239" t="str">
        <f>'Entrada Inver_Finan'!C137</f>
        <v>Otros acreedores a corto plazo</v>
      </c>
      <c r="E111" s="156"/>
      <c r="F111" s="170">
        <f>'Entrada Inver_Finan'!D137</f>
        <v>0</v>
      </c>
      <c r="G111" s="168" t="str">
        <f>IF($F$83&lt;&gt;0,F111/$F$83,"")</f>
        <v/>
      </c>
    </row>
    <row r="112" spans="2:7" x14ac:dyDescent="0.2">
      <c r="B112" s="148"/>
      <c r="C112" s="174" t="str">
        <f>'Entrada Inver_Finan'!C138</f>
        <v>TOTAL CREDITOS A CORTO PLAZO:</v>
      </c>
      <c r="D112" s="175"/>
      <c r="E112" s="175"/>
      <c r="F112" s="176">
        <f>F108+F109+F110+F111</f>
        <v>0</v>
      </c>
      <c r="G112" s="178" t="str">
        <f>IF($F$83&lt;&gt;0,F112/$F$83,"")</f>
        <v/>
      </c>
    </row>
    <row r="113" spans="2:7" ht="6.75" customHeight="1" x14ac:dyDescent="0.2">
      <c r="B113" s="148"/>
      <c r="C113" s="1135"/>
      <c r="F113" s="1136"/>
      <c r="G113" s="1137"/>
    </row>
    <row r="114" spans="2:7" ht="15.75" customHeight="1" x14ac:dyDescent="0.25">
      <c r="B114" s="179" t="str">
        <f>'Entrada Inver_Finan'!C139</f>
        <v>TOTAL RECURSOS AJENOS:</v>
      </c>
      <c r="C114" s="175"/>
      <c r="D114" s="175"/>
      <c r="E114" s="175"/>
      <c r="F114" s="186">
        <f>F106+F112</f>
        <v>0</v>
      </c>
      <c r="G114" s="184" t="str">
        <f>IF(F$116=0,"",F114/$F$116)</f>
        <v/>
      </c>
    </row>
    <row r="115" spans="2:7" ht="6.75" customHeight="1" thickBot="1" x14ac:dyDescent="0.3">
      <c r="B115" s="157"/>
      <c r="F115" s="97"/>
      <c r="G115" s="163"/>
    </row>
    <row r="116" spans="2:7" s="75" customFormat="1" ht="18.75" thickBot="1" x14ac:dyDescent="0.3">
      <c r="B116" s="281" t="s">
        <v>287</v>
      </c>
      <c r="C116" s="278"/>
      <c r="D116" s="278"/>
      <c r="E116" s="278"/>
      <c r="F116" s="279">
        <f>F98+F114</f>
        <v>0</v>
      </c>
      <c r="G116" s="282" t="str">
        <f>IF(F$116=0,"",F116/$F$116)</f>
        <v/>
      </c>
    </row>
    <row r="117" spans="2:7" ht="15.75" customHeight="1" thickBot="1" x14ac:dyDescent="0.25">
      <c r="B117" s="142"/>
      <c r="F117" s="141"/>
      <c r="G117" s="181"/>
    </row>
    <row r="118" spans="2:7" ht="20.25" customHeight="1" thickBot="1" x14ac:dyDescent="0.3">
      <c r="B118" s="281" t="s">
        <v>370</v>
      </c>
      <c r="C118" s="278"/>
      <c r="D118" s="278"/>
      <c r="E118" s="278"/>
      <c r="F118" s="456">
        <f>TESORERIA!C35</f>
        <v>0</v>
      </c>
      <c r="G118" s="143"/>
    </row>
    <row r="119" spans="2:7" ht="12.75" customHeight="1" x14ac:dyDescent="0.25">
      <c r="B119" s="157"/>
      <c r="F119" s="97"/>
      <c r="G119" s="163"/>
    </row>
  </sheetData>
  <sheetProtection password="CC4B" sheet="1"/>
  <mergeCells count="6">
    <mergeCell ref="D109:E109"/>
    <mergeCell ref="B7:G7"/>
    <mergeCell ref="B89:E90"/>
    <mergeCell ref="B14:E15"/>
    <mergeCell ref="F14:G14"/>
    <mergeCell ref="F89:G89"/>
  </mergeCells>
  <phoneticPr fontId="0" type="noConversion"/>
  <printOptions horizontalCentered="1" verticalCentered="1"/>
  <pageMargins left="0.75" right="0.75" top="1" bottom="1" header="0" footer="0"/>
  <pageSetup paperSize="9" fitToHeight="2" orientation="portrait" verticalDpi="200" r:id="rId1"/>
  <headerFooter alignWithMargins="0"/>
  <rowBreaks count="1" manualBreakCount="1">
    <brk id="84" min="1" max="6"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tabColor theme="4" tint="0.39997558519241921"/>
    <pageSetUpPr fitToPage="1"/>
  </sheetPr>
  <dimension ref="A1:V309"/>
  <sheetViews>
    <sheetView showGridLines="0" topLeftCell="A4" zoomScaleNormal="100" workbookViewId="0">
      <selection activeCell="J23" sqref="J23"/>
    </sheetView>
  </sheetViews>
  <sheetFormatPr baseColWidth="10" defaultColWidth="9.140625" defaultRowHeight="12.75" x14ac:dyDescent="0.2"/>
  <cols>
    <col min="1" max="1" width="11.42578125" customWidth="1"/>
    <col min="2" max="2" width="3.5703125" customWidth="1"/>
    <col min="3" max="3" width="39.42578125" customWidth="1"/>
    <col min="4" max="4" width="13.7109375" style="880" customWidth="1"/>
    <col min="5" max="17" width="13.7109375" customWidth="1"/>
    <col min="18" max="18" width="13.7109375" style="58" customWidth="1"/>
    <col min="19" max="19" width="12.42578125" customWidth="1"/>
    <col min="20" max="20" width="13.28515625" customWidth="1"/>
    <col min="21" max="256" width="11.42578125" customWidth="1"/>
  </cols>
  <sheetData>
    <row r="1" spans="1:18" s="224" customFormat="1" ht="13.5" thickBot="1" x14ac:dyDescent="0.25">
      <c r="A1" s="546"/>
      <c r="B1" s="546"/>
      <c r="C1" s="546"/>
      <c r="D1" s="879"/>
      <c r="E1" s="548"/>
      <c r="F1" s="548"/>
      <c r="G1" s="548"/>
      <c r="H1" s="548"/>
      <c r="I1" s="548"/>
      <c r="J1" s="548"/>
      <c r="K1" s="548"/>
      <c r="L1" s="548"/>
      <c r="M1" s="548"/>
      <c r="N1" s="548"/>
      <c r="O1" s="548"/>
      <c r="P1" s="549"/>
      <c r="Q1" s="549"/>
      <c r="R1" s="549"/>
    </row>
    <row r="2" spans="1:18" x14ac:dyDescent="0.2">
      <c r="D2" s="13"/>
      <c r="E2" s="9"/>
      <c r="F2" s="9"/>
      <c r="G2" s="9"/>
      <c r="H2" s="9"/>
      <c r="I2" s="9"/>
      <c r="J2" s="9"/>
      <c r="K2" s="9"/>
      <c r="L2" s="9"/>
      <c r="M2" s="9"/>
      <c r="N2" s="9"/>
      <c r="O2" s="9"/>
      <c r="P2" s="58"/>
      <c r="Q2" s="58"/>
    </row>
    <row r="3" spans="1:18" x14ac:dyDescent="0.2">
      <c r="D3" s="13"/>
      <c r="E3" s="9"/>
      <c r="F3" s="9"/>
      <c r="G3" s="9"/>
      <c r="H3" s="9"/>
      <c r="I3" s="9"/>
      <c r="J3" s="9"/>
      <c r="K3" s="9"/>
      <c r="L3" s="9"/>
      <c r="M3" s="9"/>
      <c r="N3" s="9"/>
      <c r="O3" s="9"/>
      <c r="P3" s="58"/>
      <c r="Q3" s="58"/>
    </row>
    <row r="4" spans="1:18" ht="36" customHeight="1" x14ac:dyDescent="0.2">
      <c r="C4" s="1367" t="s">
        <v>371</v>
      </c>
      <c r="D4" s="1368"/>
      <c r="E4" s="1368"/>
      <c r="F4" s="1369"/>
      <c r="G4" s="9"/>
      <c r="H4" s="9"/>
      <c r="I4" s="9"/>
      <c r="J4" s="9"/>
      <c r="K4" s="9"/>
      <c r="L4" s="9"/>
      <c r="M4" s="9"/>
      <c r="N4" s="9"/>
      <c r="O4" s="9"/>
      <c r="P4" s="58"/>
      <c r="Q4" s="58"/>
    </row>
    <row r="5" spans="1:18" x14ac:dyDescent="0.2">
      <c r="D5" s="13"/>
      <c r="E5" s="9"/>
      <c r="F5" s="9"/>
      <c r="G5" s="9"/>
      <c r="H5" s="9"/>
      <c r="I5" s="9"/>
      <c r="J5" s="9"/>
      <c r="K5" s="9"/>
      <c r="L5" s="9"/>
      <c r="M5" s="9"/>
      <c r="N5" s="9"/>
      <c r="O5" s="9"/>
      <c r="P5" s="58"/>
      <c r="Q5" s="58"/>
    </row>
    <row r="6" spans="1:18" x14ac:dyDescent="0.2">
      <c r="F6" s="58"/>
      <c r="H6" s="9"/>
      <c r="I6" s="9"/>
      <c r="J6" s="9"/>
      <c r="K6" s="9"/>
      <c r="L6" s="9"/>
      <c r="M6" s="9"/>
      <c r="N6" s="9"/>
      <c r="O6" s="9"/>
      <c r="P6" s="58"/>
      <c r="Q6" s="58"/>
    </row>
    <row r="7" spans="1:18" ht="20.25" x14ac:dyDescent="0.3">
      <c r="B7" s="1360" t="str">
        <f>'Datos generales'!C6</f>
        <v>Nombre de la empresa</v>
      </c>
      <c r="C7" s="1360"/>
      <c r="D7" s="1374"/>
      <c r="E7" s="1360"/>
      <c r="F7" s="1360"/>
      <c r="G7" s="1360"/>
      <c r="H7" s="9"/>
      <c r="I7" s="9"/>
      <c r="J7" s="9"/>
      <c r="K7" s="9"/>
      <c r="L7" s="9"/>
      <c r="M7" s="9"/>
      <c r="N7" s="9"/>
      <c r="O7" s="9"/>
      <c r="P7" s="58"/>
      <c r="Q7" s="58"/>
    </row>
    <row r="8" spans="1:18" ht="20.25" x14ac:dyDescent="0.3">
      <c r="B8" s="107"/>
      <c r="C8" s="107"/>
      <c r="D8" s="1246"/>
      <c r="E8" s="107"/>
      <c r="F8" s="107"/>
      <c r="G8" s="107"/>
      <c r="H8" s="9"/>
      <c r="I8" s="9"/>
      <c r="J8" s="9"/>
      <c r="K8" s="9"/>
      <c r="L8" s="9"/>
      <c r="M8" s="9"/>
      <c r="N8" s="9"/>
      <c r="O8" s="9"/>
      <c r="P8" s="58"/>
      <c r="Q8" s="58"/>
    </row>
    <row r="10" spans="1:18" ht="15.75" x14ac:dyDescent="0.25">
      <c r="B10" s="138" t="s">
        <v>372</v>
      </c>
      <c r="C10" s="138"/>
    </row>
    <row r="11" spans="1:18" x14ac:dyDescent="0.2">
      <c r="D11" s="483"/>
      <c r="E11" s="4"/>
      <c r="F11" s="4"/>
      <c r="G11" s="4"/>
      <c r="J11" s="4"/>
      <c r="K11" s="4"/>
      <c r="L11" s="4"/>
      <c r="M11" s="4"/>
      <c r="N11" s="4"/>
      <c r="O11" s="4"/>
    </row>
    <row r="12" spans="1:18" ht="16.5" thickBot="1" x14ac:dyDescent="0.3">
      <c r="D12" s="881" t="s">
        <v>373</v>
      </c>
      <c r="E12" s="558" t="s">
        <v>374</v>
      </c>
      <c r="F12" s="1248" t="s">
        <v>375</v>
      </c>
      <c r="I12" s="1248"/>
    </row>
    <row r="13" spans="1:18" ht="13.5" thickTop="1" x14ac:dyDescent="0.2">
      <c r="B13" s="1375" t="s">
        <v>295</v>
      </c>
      <c r="C13" s="1376"/>
      <c r="D13" s="565" t="s">
        <v>129</v>
      </c>
      <c r="E13" s="565" t="s">
        <v>129</v>
      </c>
      <c r="F13" s="566" t="s">
        <v>129</v>
      </c>
      <c r="I13" s="126"/>
    </row>
    <row r="14" spans="1:18" x14ac:dyDescent="0.2">
      <c r="B14" s="567" t="s">
        <v>376</v>
      </c>
      <c r="C14" s="1247" t="s">
        <v>377</v>
      </c>
      <c r="D14" s="882">
        <f>R53</f>
        <v>0</v>
      </c>
      <c r="E14" s="668">
        <f>Q133</f>
        <v>0</v>
      </c>
      <c r="F14" s="669">
        <f>Q211</f>
        <v>0</v>
      </c>
      <c r="I14" s="559"/>
    </row>
    <row r="15" spans="1:18" ht="25.5" x14ac:dyDescent="0.2">
      <c r="B15" s="567" t="s">
        <v>378</v>
      </c>
      <c r="C15" s="1247" t="s">
        <v>379</v>
      </c>
      <c r="D15" s="882">
        <f>R54</f>
        <v>0</v>
      </c>
      <c r="E15" s="668">
        <f>Q134</f>
        <v>0</v>
      </c>
      <c r="F15" s="669">
        <f>Q212</f>
        <v>0</v>
      </c>
      <c r="I15" s="559"/>
    </row>
    <row r="16" spans="1:18" ht="25.5" x14ac:dyDescent="0.2">
      <c r="B16" s="567" t="s">
        <v>380</v>
      </c>
      <c r="C16" s="575" t="s">
        <v>381</v>
      </c>
      <c r="D16" s="882"/>
      <c r="E16" s="668"/>
      <c r="F16" s="669"/>
      <c r="I16" s="559"/>
    </row>
    <row r="17" spans="2:19" x14ac:dyDescent="0.2">
      <c r="B17" s="567" t="s">
        <v>382</v>
      </c>
      <c r="C17" s="621" t="s">
        <v>383</v>
      </c>
      <c r="D17" s="883">
        <f>R60</f>
        <v>0</v>
      </c>
      <c r="E17" s="682">
        <f>Q140</f>
        <v>0</v>
      </c>
      <c r="F17" s="683">
        <f>Q218</f>
        <v>0</v>
      </c>
      <c r="I17" s="306"/>
    </row>
    <row r="18" spans="2:19" x14ac:dyDescent="0.2">
      <c r="B18" s="567" t="s">
        <v>384</v>
      </c>
      <c r="C18" s="622" t="s">
        <v>385</v>
      </c>
      <c r="D18" s="884">
        <f>R61</f>
        <v>0</v>
      </c>
      <c r="E18" s="682">
        <f>Q141</f>
        <v>0</v>
      </c>
      <c r="F18" s="683">
        <f>Q219</f>
        <v>0</v>
      </c>
      <c r="I18" s="306"/>
    </row>
    <row r="19" spans="2:19" x14ac:dyDescent="0.2">
      <c r="B19" s="567" t="s">
        <v>386</v>
      </c>
      <c r="C19" s="1247" t="s">
        <v>387</v>
      </c>
      <c r="D19" s="883">
        <f>R72</f>
        <v>0</v>
      </c>
      <c r="E19" s="682">
        <f>Q152</f>
        <v>0</v>
      </c>
      <c r="F19" s="683">
        <f>Q230</f>
        <v>0</v>
      </c>
      <c r="I19" s="274"/>
    </row>
    <row r="20" spans="2:19" ht="12.75" customHeight="1" x14ac:dyDescent="0.2">
      <c r="B20" s="567" t="s">
        <v>388</v>
      </c>
      <c r="C20" s="575" t="s">
        <v>389</v>
      </c>
      <c r="D20" s="883">
        <f ca="1">R105</f>
        <v>0</v>
      </c>
      <c r="E20" s="682">
        <f ca="1">Q184</f>
        <v>0</v>
      </c>
      <c r="F20" s="683">
        <f ca="1">Q262</f>
        <v>0</v>
      </c>
      <c r="I20" s="274"/>
    </row>
    <row r="21" spans="2:19" x14ac:dyDescent="0.2">
      <c r="B21" s="567" t="s">
        <v>390</v>
      </c>
      <c r="C21" s="575" t="s">
        <v>391</v>
      </c>
      <c r="D21" s="883">
        <f>R108</f>
        <v>0</v>
      </c>
      <c r="E21" s="682">
        <f>Q186</f>
        <v>0</v>
      </c>
      <c r="F21" s="683">
        <f>Q264</f>
        <v>0</v>
      </c>
      <c r="I21" s="274"/>
    </row>
    <row r="22" spans="2:19" ht="25.5" x14ac:dyDescent="0.2">
      <c r="B22" s="567" t="s">
        <v>392</v>
      </c>
      <c r="C22" s="575" t="s">
        <v>393</v>
      </c>
      <c r="D22" s="885">
        <f>R110</f>
        <v>0</v>
      </c>
      <c r="E22" s="671">
        <f>Q188</f>
        <v>0</v>
      </c>
      <c r="F22" s="672">
        <f>Q266</f>
        <v>0</v>
      </c>
      <c r="G22" s="58"/>
      <c r="H22" s="58"/>
      <c r="I22" s="58"/>
      <c r="J22" s="58"/>
      <c r="L22" s="58"/>
    </row>
    <row r="23" spans="2:19" x14ac:dyDescent="0.2">
      <c r="B23" s="560"/>
      <c r="C23" s="41"/>
      <c r="D23" s="886"/>
      <c r="E23" s="626"/>
      <c r="F23" s="673"/>
      <c r="I23" s="274"/>
    </row>
    <row r="24" spans="2:19" ht="15.75" x14ac:dyDescent="0.25">
      <c r="B24" s="304" t="s">
        <v>394</v>
      </c>
      <c r="C24" s="303"/>
      <c r="D24" s="1031">
        <f ca="1">R112</f>
        <v>0</v>
      </c>
      <c r="E24" s="1032">
        <f ca="1">Q190</f>
        <v>0</v>
      </c>
      <c r="F24" s="1033">
        <f ca="1">Q268</f>
        <v>0</v>
      </c>
      <c r="H24" s="58"/>
      <c r="I24" s="274"/>
    </row>
    <row r="25" spans="2:19" ht="15.75" x14ac:dyDescent="0.25">
      <c r="B25" s="562"/>
      <c r="C25" s="157"/>
      <c r="D25" s="888"/>
      <c r="E25" s="677"/>
      <c r="F25" s="678"/>
      <c r="H25" s="58"/>
      <c r="I25" s="274"/>
    </row>
    <row r="26" spans="2:19" x14ac:dyDescent="0.2">
      <c r="B26" s="568" t="s">
        <v>395</v>
      </c>
      <c r="C26" s="464" t="s">
        <v>335</v>
      </c>
      <c r="D26" s="889">
        <f>R116</f>
        <v>0</v>
      </c>
      <c r="E26" s="679">
        <f>Q194</f>
        <v>0</v>
      </c>
      <c r="F26" s="680">
        <f>Q272</f>
        <v>0</v>
      </c>
      <c r="I26" s="274"/>
    </row>
    <row r="27" spans="2:19" x14ac:dyDescent="0.2">
      <c r="B27" s="568" t="s">
        <v>396</v>
      </c>
      <c r="C27" s="300" t="s">
        <v>397</v>
      </c>
      <c r="D27" s="883">
        <f ca="1">R123</f>
        <v>0</v>
      </c>
      <c r="E27" s="682">
        <f ca="1">Q201</f>
        <v>0</v>
      </c>
      <c r="F27" s="683">
        <f ca="1">Q279</f>
        <v>0</v>
      </c>
      <c r="I27" s="274"/>
      <c r="L27" s="1"/>
      <c r="M27" s="1"/>
      <c r="N27" s="1"/>
      <c r="O27" s="1"/>
    </row>
    <row r="28" spans="2:19" x14ac:dyDescent="0.2">
      <c r="B28" s="210"/>
      <c r="C28" s="1"/>
      <c r="D28" s="886"/>
      <c r="E28" s="626"/>
      <c r="F28" s="673"/>
      <c r="I28" s="274"/>
      <c r="L28" s="1"/>
      <c r="M28" s="1"/>
      <c r="N28" s="1"/>
      <c r="O28" s="1"/>
    </row>
    <row r="29" spans="2:19" s="1" customFormat="1" ht="19.5" customHeight="1" x14ac:dyDescent="0.25">
      <c r="B29" s="304" t="s">
        <v>398</v>
      </c>
      <c r="C29" s="303"/>
      <c r="D29" s="887">
        <f ca="1">R125</f>
        <v>0</v>
      </c>
      <c r="E29" s="675">
        <f ca="1">Q203</f>
        <v>0</v>
      </c>
      <c r="F29" s="676">
        <f ca="1">Q281</f>
        <v>0</v>
      </c>
      <c r="I29" s="306"/>
      <c r="R29" s="61"/>
      <c r="S29"/>
    </row>
    <row r="30" spans="2:19" s="1" customFormat="1" ht="19.5" customHeight="1" x14ac:dyDescent="0.25">
      <c r="B30" s="562"/>
      <c r="C30" s="157"/>
      <c r="D30" s="888"/>
      <c r="E30" s="677"/>
      <c r="F30" s="678"/>
      <c r="I30" s="306"/>
      <c r="R30" s="61"/>
      <c r="S30"/>
    </row>
    <row r="31" spans="2:19" ht="15.75" x14ac:dyDescent="0.25">
      <c r="B31" s="304" t="s">
        <v>399</v>
      </c>
      <c r="C31" s="303"/>
      <c r="D31" s="1031">
        <f ca="1">R127</f>
        <v>0</v>
      </c>
      <c r="E31" s="1032">
        <f ca="1">Q205</f>
        <v>0</v>
      </c>
      <c r="F31" s="1033">
        <f ca="1">Q283</f>
        <v>0</v>
      </c>
      <c r="I31" s="274"/>
    </row>
    <row r="32" spans="2:19" x14ac:dyDescent="0.2">
      <c r="B32" s="296"/>
      <c r="D32" s="890"/>
      <c r="E32" s="624"/>
      <c r="F32" s="681"/>
    </row>
    <row r="33" spans="2:17" x14ac:dyDescent="0.2">
      <c r="B33" s="568" t="s">
        <v>400</v>
      </c>
      <c r="C33" s="464" t="s">
        <v>401</v>
      </c>
      <c r="D33" s="891">
        <f ca="1">'Impuesto sociedades'!F68</f>
        <v>0</v>
      </c>
      <c r="E33" s="319">
        <f ca="1">'Impuesto sociedades'!I68</f>
        <v>0</v>
      </c>
      <c r="F33" s="684">
        <f ca="1">'Impuesto sociedades'!L68</f>
        <v>0</v>
      </c>
      <c r="G33" s="67"/>
      <c r="Q33" s="1051"/>
    </row>
    <row r="34" spans="2:17" x14ac:dyDescent="0.2">
      <c r="B34" s="210"/>
      <c r="C34" s="1"/>
      <c r="D34" s="886"/>
      <c r="E34" s="626"/>
      <c r="F34" s="673"/>
      <c r="G34" s="67"/>
      <c r="Q34" s="1051"/>
    </row>
    <row r="35" spans="2:17" ht="15.75" x14ac:dyDescent="0.25">
      <c r="B35" s="304" t="s">
        <v>402</v>
      </c>
      <c r="C35" s="303"/>
      <c r="D35" s="1031">
        <f ca="1">D31-D33</f>
        <v>0</v>
      </c>
      <c r="E35" s="1032">
        <f ca="1">E31-E33</f>
        <v>0</v>
      </c>
      <c r="F35" s="1033">
        <f ca="1">F31-F33</f>
        <v>0</v>
      </c>
      <c r="G35" s="67"/>
      <c r="Q35" s="1052"/>
    </row>
    <row r="36" spans="2:17" ht="13.5" thickBot="1" x14ac:dyDescent="0.25">
      <c r="B36" s="576"/>
      <c r="C36" s="577"/>
      <c r="D36" s="892"/>
      <c r="E36" s="700"/>
      <c r="F36" s="701"/>
      <c r="G36" s="67"/>
      <c r="Q36" s="1051"/>
    </row>
    <row r="37" spans="2:17" ht="14.25" thickTop="1" thickBot="1" x14ac:dyDescent="0.25">
      <c r="B37" s="1"/>
      <c r="C37" s="1"/>
      <c r="D37" s="893"/>
      <c r="E37" s="626"/>
      <c r="F37" s="626"/>
      <c r="G37" s="67"/>
    </row>
    <row r="38" spans="2:17" ht="15.75" thickTop="1" x14ac:dyDescent="0.25">
      <c r="B38" s="293" t="s">
        <v>403</v>
      </c>
      <c r="C38" s="569"/>
      <c r="D38" s="1034">
        <f ca="1">IF(D31&gt;0,D35*'Datos generales'!E44+'Datos generales'!D44,0)</f>
        <v>0</v>
      </c>
      <c r="E38" s="1035">
        <f ca="1">IF(E31&gt;0,E35*'Datos generales'!G44+'Datos generales'!F44,0)</f>
        <v>0</v>
      </c>
      <c r="F38" s="1036">
        <f ca="1">IF(F31&gt;0,F35*'Datos generales'!I44+'Datos generales'!H44,0)</f>
        <v>0</v>
      </c>
      <c r="G38" s="67"/>
      <c r="Q38" s="1052"/>
    </row>
    <row r="39" spans="2:17" ht="15" x14ac:dyDescent="0.25">
      <c r="B39" s="722" t="s">
        <v>404</v>
      </c>
      <c r="C39" s="723"/>
      <c r="D39" s="1037">
        <f ca="1">D31-D33-D38</f>
        <v>0</v>
      </c>
      <c r="E39" s="1038">
        <f ca="1">E31-E33-E38</f>
        <v>0</v>
      </c>
      <c r="F39" s="1039">
        <f ca="1">F31-F33-F38</f>
        <v>0</v>
      </c>
      <c r="G39" s="67"/>
      <c r="Q39" s="1052"/>
    </row>
    <row r="40" spans="2:17" ht="15.75" thickBot="1" x14ac:dyDescent="0.3">
      <c r="B40" s="294" t="s">
        <v>405</v>
      </c>
      <c r="C40" s="570"/>
      <c r="D40" s="1040">
        <f ca="1">BALANCES!E39+'AMORTIZACION CONTABLE'!H38</f>
        <v>0</v>
      </c>
      <c r="E40" s="1041">
        <f ca="1">BALANCES!G39+'AMORTIZACION CONTABLE'!J38</f>
        <v>0</v>
      </c>
      <c r="F40" s="1042">
        <f ca="1">BALANCES!I39+'AMORTIZACION CONTABLE'!L38</f>
        <v>0</v>
      </c>
      <c r="G40" s="4"/>
      <c r="H40" s="4"/>
      <c r="Q40" s="1052"/>
    </row>
    <row r="41" spans="2:17" ht="15.75" thickTop="1" x14ac:dyDescent="0.25">
      <c r="B41" s="1"/>
      <c r="C41" s="1"/>
      <c r="D41" s="1226"/>
      <c r="E41" s="1227"/>
      <c r="F41" s="1227"/>
      <c r="G41" s="4"/>
      <c r="H41" s="4"/>
      <c r="Q41" s="1052"/>
    </row>
    <row r="42" spans="2:17" ht="15" x14ac:dyDescent="0.25">
      <c r="B42" s="1"/>
      <c r="C42" s="1"/>
      <c r="D42" s="1226"/>
      <c r="E42" s="1227"/>
      <c r="F42" s="1227"/>
      <c r="G42" s="4"/>
      <c r="H42" s="4"/>
      <c r="Q42" s="1052"/>
    </row>
    <row r="43" spans="2:17" ht="7.5" customHeight="1" thickBot="1" x14ac:dyDescent="0.25">
      <c r="B43" s="4"/>
      <c r="C43" s="4"/>
      <c r="D43" s="483"/>
      <c r="E43" s="67"/>
      <c r="F43" s="4"/>
      <c r="G43" s="4"/>
      <c r="M43" s="58"/>
      <c r="Q43" s="1051"/>
    </row>
    <row r="44" spans="2:17" ht="15.75" hidden="1" thickTop="1" x14ac:dyDescent="0.25">
      <c r="B44" s="293" t="s">
        <v>406</v>
      </c>
      <c r="C44" s="569"/>
      <c r="D44" s="1034">
        <f>D14+D16+D18-(R57+D15)</f>
        <v>0</v>
      </c>
      <c r="E44" s="1035">
        <f>E14+E16+E18-(Q137+E15)</f>
        <v>0</v>
      </c>
      <c r="F44" s="1036">
        <f>F14+F16+F18-(Q215+F15)</f>
        <v>0</v>
      </c>
      <c r="G44" s="4"/>
      <c r="M44" s="58"/>
      <c r="Q44" s="1051"/>
    </row>
    <row r="45" spans="2:17" ht="15" hidden="1" x14ac:dyDescent="0.25">
      <c r="B45" s="722" t="s">
        <v>407</v>
      </c>
      <c r="C45" s="723"/>
      <c r="D45" s="1037">
        <f>R58+R59+R103+R88</f>
        <v>0</v>
      </c>
      <c r="E45" s="1038">
        <f>Q138+Q139+Q182+Q168</f>
        <v>0</v>
      </c>
      <c r="F45" s="1039">
        <f>Q216+Q217+Q260+Q246</f>
        <v>0</v>
      </c>
      <c r="G45" s="4"/>
      <c r="M45" s="58"/>
      <c r="Q45" s="1051"/>
    </row>
    <row r="46" spans="2:17" ht="15.75" hidden="1" thickBot="1" x14ac:dyDescent="0.3">
      <c r="B46" s="250" t="s">
        <v>408</v>
      </c>
      <c r="C46" s="1232"/>
      <c r="D46" s="1229">
        <f>D44-D45</f>
        <v>0</v>
      </c>
      <c r="E46" s="1230">
        <f>E44-E45</f>
        <v>0</v>
      </c>
      <c r="F46" s="1231">
        <f>F44-F45</f>
        <v>0</v>
      </c>
      <c r="G46" s="4"/>
      <c r="M46" s="58"/>
      <c r="Q46" s="1051"/>
    </row>
    <row r="47" spans="2:17" ht="15.75" thickTop="1" x14ac:dyDescent="0.25">
      <c r="B47" s="395" t="s">
        <v>409</v>
      </c>
      <c r="C47" s="1228"/>
      <c r="D47" s="1034">
        <f ca="1">BALANCES!E107</f>
        <v>0</v>
      </c>
      <c r="E47" s="1035">
        <f ca="1">BALANCES!G107</f>
        <v>0</v>
      </c>
      <c r="F47" s="1036">
        <f ca="1">BALANCES!I107</f>
        <v>0</v>
      </c>
      <c r="G47" s="4"/>
      <c r="M47" s="58"/>
      <c r="Q47" s="1051"/>
    </row>
    <row r="48" spans="2:17" ht="15.75" thickBot="1" x14ac:dyDescent="0.3">
      <c r="B48" s="576" t="s">
        <v>410</v>
      </c>
      <c r="C48" s="577"/>
      <c r="D48" s="1040">
        <f ca="1">D24+SUM(D21:D22)</f>
        <v>0</v>
      </c>
      <c r="E48" s="1040">
        <f ca="1">E24+SUM(E21:E22)</f>
        <v>0</v>
      </c>
      <c r="F48" s="1233">
        <f ca="1">F24+SUM(F21:F22)</f>
        <v>0</v>
      </c>
      <c r="G48" s="4"/>
      <c r="M48" s="58"/>
      <c r="Q48" s="1051"/>
    </row>
    <row r="49" spans="2:21" ht="15.75" thickTop="1" x14ac:dyDescent="0.25">
      <c r="B49" s="1"/>
      <c r="C49" s="1"/>
      <c r="D49" s="1226"/>
      <c r="E49" s="1227"/>
      <c r="F49" s="1227"/>
      <c r="G49" s="4"/>
      <c r="M49" s="58"/>
      <c r="Q49" s="1051"/>
    </row>
    <row r="50" spans="2:21" x14ac:dyDescent="0.2">
      <c r="B50" s="4"/>
      <c r="C50" s="4"/>
      <c r="D50" s="483"/>
      <c r="E50" s="4"/>
      <c r="F50" s="4"/>
      <c r="G50" s="4"/>
      <c r="H50" s="4"/>
      <c r="I50" s="4"/>
      <c r="J50" s="4"/>
      <c r="K50" s="4"/>
      <c r="L50" s="4"/>
      <c r="M50" s="4"/>
      <c r="N50" s="4"/>
      <c r="O50" s="4"/>
      <c r="P50" s="4"/>
      <c r="Q50" s="67"/>
      <c r="R50" s="6"/>
    </row>
    <row r="51" spans="2:21" ht="16.5" thickBot="1" x14ac:dyDescent="0.3">
      <c r="B51" s="4"/>
      <c r="C51" s="138" t="s">
        <v>411</v>
      </c>
      <c r="D51" s="483"/>
      <c r="E51" s="4"/>
      <c r="G51" s="4"/>
      <c r="H51" s="4"/>
      <c r="J51" s="59"/>
      <c r="K51" s="4"/>
      <c r="L51" s="4"/>
      <c r="M51" s="4"/>
      <c r="N51" s="4"/>
      <c r="O51" s="4"/>
      <c r="P51" s="4"/>
      <c r="Q51" s="67"/>
      <c r="R51" s="6"/>
    </row>
    <row r="52" spans="2:21" ht="26.25" customHeight="1" thickTop="1" x14ac:dyDescent="0.2">
      <c r="B52" s="1375" t="str">
        <f>B13</f>
        <v>Conceptos</v>
      </c>
      <c r="C52" s="1376"/>
      <c r="D52" s="894" t="s">
        <v>412</v>
      </c>
      <c r="E52" s="301" t="s">
        <v>296</v>
      </c>
      <c r="F52" s="301" t="s">
        <v>297</v>
      </c>
      <c r="G52" s="301" t="s">
        <v>298</v>
      </c>
      <c r="H52" s="301" t="s">
        <v>120</v>
      </c>
      <c r="I52" s="301" t="s">
        <v>121</v>
      </c>
      <c r="J52" s="301" t="s">
        <v>122</v>
      </c>
      <c r="K52" s="301" t="s">
        <v>123</v>
      </c>
      <c r="L52" s="301" t="s">
        <v>299</v>
      </c>
      <c r="M52" s="301" t="s">
        <v>300</v>
      </c>
      <c r="N52" s="301" t="s">
        <v>301</v>
      </c>
      <c r="O52" s="301" t="s">
        <v>302</v>
      </c>
      <c r="P52" s="301" t="s">
        <v>303</v>
      </c>
      <c r="Q52" s="635" t="s">
        <v>413</v>
      </c>
      <c r="R52" s="634" t="s">
        <v>129</v>
      </c>
      <c r="S52" s="4"/>
    </row>
    <row r="53" spans="2:21" x14ac:dyDescent="0.2">
      <c r="B53" s="100" t="str">
        <f>C14</f>
        <v>Importe neto de la cifra de negocios:</v>
      </c>
      <c r="C53" s="300"/>
      <c r="D53" s="895"/>
      <c r="E53" s="668">
        <f>IF('Datos generales'!$O$10&gt;'Datos generales'!E$1,0,'Presupuesto de ventas'!D60)</f>
        <v>0</v>
      </c>
      <c r="F53" s="668">
        <f>IF('Datos generales'!$O$10&gt;'Datos generales'!F$1,0,'Presupuesto de ventas'!E60)</f>
        <v>0</v>
      </c>
      <c r="G53" s="668">
        <f>IF('Datos generales'!$O$10&gt;'Datos generales'!G$1,0,'Presupuesto de ventas'!F60)</f>
        <v>0</v>
      </c>
      <c r="H53" s="668">
        <f>IF('Datos generales'!$O$10&gt;'Datos generales'!H$1,0,'Presupuesto de ventas'!G60)</f>
        <v>0</v>
      </c>
      <c r="I53" s="668">
        <f>IF('Datos generales'!$O$10&gt;'Datos generales'!I$1,0,'Presupuesto de ventas'!H60)</f>
        <v>0</v>
      </c>
      <c r="J53" s="668">
        <f>IF('Datos generales'!$O$10&gt;'Datos generales'!J$1,0,'Presupuesto de ventas'!I60)</f>
        <v>0</v>
      </c>
      <c r="K53" s="668">
        <f>IF('Datos generales'!$O$10&gt;'Datos generales'!K$1,0,'Presupuesto de ventas'!J60)</f>
        <v>0</v>
      </c>
      <c r="L53" s="668">
        <f>IF('Datos generales'!$O$10&gt;'Datos generales'!L$1,0,'Presupuesto de ventas'!K60)</f>
        <v>0</v>
      </c>
      <c r="M53" s="668">
        <f>IF('Datos generales'!$O$10&gt;'Datos generales'!M$1,0,'Presupuesto de ventas'!L60)</f>
        <v>0</v>
      </c>
      <c r="N53" s="668">
        <f>IF('Datos generales'!$O$10&gt;'Datos generales'!N$1,0,'Presupuesto de ventas'!M60)</f>
        <v>0</v>
      </c>
      <c r="O53" s="668">
        <f>IF('Datos generales'!$O$10&gt;'Datos generales'!O$1,0,'Presupuesto de ventas'!N60)</f>
        <v>0</v>
      </c>
      <c r="P53" s="668">
        <f>IF('Datos generales'!$O$10&gt;'Datos generales'!P$1,0,'Presupuesto de ventas'!O60)</f>
        <v>0</v>
      </c>
      <c r="Q53" s="647"/>
      <c r="R53" s="778">
        <f>SUM(D53:Q53)</f>
        <v>0</v>
      </c>
      <c r="S53" s="624"/>
      <c r="T53" s="624"/>
      <c r="U53" s="624"/>
    </row>
    <row r="54" spans="2:21" s="75" customFormat="1" ht="28.5" customHeight="1" x14ac:dyDescent="0.25">
      <c r="B54" s="1370" t="s">
        <v>414</v>
      </c>
      <c r="C54" s="1371"/>
      <c r="D54" s="629"/>
      <c r="E54" s="289">
        <f>IF('Datos generales'!$D$22&lt;=0,'Margen B'!C144,'Margen B'!C143)</f>
        <v>0</v>
      </c>
      <c r="F54" s="289">
        <f>IF('Datos generales'!$D$22&lt;=0,'Margen B'!D144,'Margen B'!D143)</f>
        <v>0</v>
      </c>
      <c r="G54" s="289">
        <f>IF('Datos generales'!$D$22&lt;=0,'Margen B'!E144,'Margen B'!E143)</f>
        <v>0</v>
      </c>
      <c r="H54" s="289">
        <f>IF('Datos generales'!$D$22&lt;=0,'Margen B'!F144,'Margen B'!F143)</f>
        <v>0</v>
      </c>
      <c r="I54" s="289">
        <f>IF('Datos generales'!$D$22&lt;=0,'Margen B'!G144,'Margen B'!G143)</f>
        <v>0</v>
      </c>
      <c r="J54" s="289">
        <f>IF('Datos generales'!$D$22&lt;=0,'Margen B'!H144,'Margen B'!H143)</f>
        <v>0</v>
      </c>
      <c r="K54" s="289">
        <f>IF('Datos generales'!$D$22&lt;=0,'Margen B'!I144,'Margen B'!I143)</f>
        <v>0</v>
      </c>
      <c r="L54" s="289">
        <f>IF('Datos generales'!$D$22&lt;=0,'Margen B'!J144,'Margen B'!J143)</f>
        <v>0</v>
      </c>
      <c r="M54" s="289">
        <f>IF('Datos generales'!$D$22&lt;=0,'Margen B'!K144,'Margen B'!K143)</f>
        <v>0</v>
      </c>
      <c r="N54" s="289">
        <f>IF('Datos generales'!$D$22&lt;=0,'Margen B'!L144,'Margen B'!L143)</f>
        <v>0</v>
      </c>
      <c r="O54" s="289">
        <f>IF('Datos generales'!$D$22&lt;=0,'Margen B'!M144,'Margen B'!M143)</f>
        <v>0</v>
      </c>
      <c r="P54" s="289">
        <f>IF('Datos generales'!$D$22&lt;=0,'Margen B'!N144,'Margen B'!N143)</f>
        <v>0</v>
      </c>
      <c r="Q54" s="751">
        <f>IF('Datos generales'!D22&lt;=0, 'Margen B'!P144-'Margen B'!O144-'PRESUPUESTO INICIAL INVER_FINAN'!O90, 'Margen B'!P143-'Margen B'!O143-'PRESUPUESTO INICIAL INVER_FINAN'!F81)</f>
        <v>0</v>
      </c>
      <c r="R54" s="778">
        <f>SUM(D54:Q54)</f>
        <v>0</v>
      </c>
      <c r="S54"/>
    </row>
    <row r="55" spans="2:21" s="75" customFormat="1" ht="15.75" x14ac:dyDescent="0.25">
      <c r="B55" s="100" t="s">
        <v>415</v>
      </c>
      <c r="C55" s="631"/>
      <c r="D55" s="629"/>
      <c r="E55" s="629"/>
      <c r="F55" s="629"/>
      <c r="G55" s="629"/>
      <c r="H55" s="629"/>
      <c r="I55" s="629"/>
      <c r="J55" s="629"/>
      <c r="K55" s="629"/>
      <c r="L55" s="629"/>
      <c r="M55" s="629"/>
      <c r="N55" s="629"/>
      <c r="O55" s="629"/>
      <c r="P55" s="629"/>
      <c r="Q55" s="636"/>
      <c r="R55" s="630"/>
      <c r="S55"/>
    </row>
    <row r="56" spans="2:21" x14ac:dyDescent="0.2">
      <c r="B56" s="210" t="s">
        <v>416</v>
      </c>
      <c r="C56" s="1"/>
      <c r="D56" s="893"/>
      <c r="E56" s="626"/>
      <c r="F56" s="626"/>
      <c r="G56" s="626"/>
      <c r="H56" s="626"/>
      <c r="I56" s="893"/>
      <c r="J56" s="626"/>
      <c r="K56" s="626"/>
      <c r="L56" s="626"/>
      <c r="M56" s="626"/>
      <c r="N56" s="626"/>
      <c r="O56" s="626"/>
      <c r="P56" s="626"/>
      <c r="Q56" s="779"/>
      <c r="R56" s="780"/>
      <c r="S56" s="624"/>
      <c r="T56" s="624"/>
      <c r="U56" s="624"/>
    </row>
    <row r="57" spans="2:21" x14ac:dyDescent="0.2">
      <c r="B57" s="560"/>
      <c r="C57" s="150" t="s">
        <v>417</v>
      </c>
      <c r="D57" s="896"/>
      <c r="E57" s="625">
        <f>IF('Datos generales'!$O$10&gt;'Datos generales'!E$1,0,'Margen B'!D104)</f>
        <v>0</v>
      </c>
      <c r="F57" s="625">
        <f>IF('Datos generales'!$O$10&gt;'Datos generales'!F$1,0,'Margen B'!E104)</f>
        <v>0</v>
      </c>
      <c r="G57" s="625">
        <f>IF('Datos generales'!$O$10&gt;'Datos generales'!G$1,0,'Margen B'!F104)</f>
        <v>0</v>
      </c>
      <c r="H57" s="625">
        <f>IF('Datos generales'!$O$10&gt;'Datos generales'!H$1,0,'Margen B'!G104)</f>
        <v>0</v>
      </c>
      <c r="I57" s="896">
        <f>IF('Datos generales'!$O$10&gt;'Datos generales'!I$1,0,'Margen B'!H104)</f>
        <v>0</v>
      </c>
      <c r="J57" s="625">
        <f>IF('Datos generales'!$O$10&gt;'Datos generales'!J$1,0,'Margen B'!I104)</f>
        <v>0</v>
      </c>
      <c r="K57" s="625">
        <f>IF('Datos generales'!$O$10&gt;'Datos generales'!K$1,0,'Margen B'!J104)</f>
        <v>0</v>
      </c>
      <c r="L57" s="625">
        <f>IF('Datos generales'!$O$10&gt;'Datos generales'!L$1,0,'Margen B'!K104)</f>
        <v>0</v>
      </c>
      <c r="M57" s="625">
        <f>IF('Datos generales'!$O$10&gt;'Datos generales'!M$1,0,'Margen B'!L104)</f>
        <v>0</v>
      </c>
      <c r="N57" s="625">
        <f>IF('Datos generales'!$O$10&gt;'Datos generales'!N$1,0,'Margen B'!M104)</f>
        <v>0</v>
      </c>
      <c r="O57" s="625">
        <f>IF('Datos generales'!$O$10&gt;'Datos generales'!O$1,0,'Margen B'!N104)</f>
        <v>0</v>
      </c>
      <c r="P57" s="625">
        <f>IF('Datos generales'!$O$10&gt;'Datos generales'!P$1,0,'Margen B'!O104)</f>
        <v>0</v>
      </c>
      <c r="Q57" s="781"/>
      <c r="R57" s="782">
        <f>SUM(D57:Q57)</f>
        <v>0</v>
      </c>
      <c r="S57" s="624"/>
      <c r="T57" s="624"/>
      <c r="U57" s="624"/>
    </row>
    <row r="58" spans="2:21" ht="25.5" x14ac:dyDescent="0.2">
      <c r="B58" s="560"/>
      <c r="C58" s="978" t="s">
        <v>418</v>
      </c>
      <c r="D58" s="897"/>
      <c r="E58" s="769">
        <f>'Margen B'!D118</f>
        <v>0</v>
      </c>
      <c r="F58" s="769">
        <f>'Margen B'!E118</f>
        <v>0</v>
      </c>
      <c r="G58" s="769">
        <f>'Margen B'!F118</f>
        <v>0</v>
      </c>
      <c r="H58" s="769">
        <f>'Margen B'!G118</f>
        <v>0</v>
      </c>
      <c r="I58" s="769">
        <f>'Margen B'!H118</f>
        <v>0</v>
      </c>
      <c r="J58" s="769">
        <f>'Margen B'!I118</f>
        <v>0</v>
      </c>
      <c r="K58" s="769">
        <f>'Margen B'!J118</f>
        <v>0</v>
      </c>
      <c r="L58" s="769">
        <f>'Margen B'!K118</f>
        <v>0</v>
      </c>
      <c r="M58" s="769">
        <f>'Margen B'!L118</f>
        <v>0</v>
      </c>
      <c r="N58" s="769">
        <f>'Margen B'!M118</f>
        <v>0</v>
      </c>
      <c r="O58" s="769">
        <f>'Margen B'!N118</f>
        <v>0</v>
      </c>
      <c r="P58" s="769">
        <f>'Margen B'!O118</f>
        <v>0</v>
      </c>
      <c r="Q58" s="647"/>
      <c r="R58" s="778">
        <f t="shared" ref="R58:R127" si="0">SUM(D58:Q58)</f>
        <v>0</v>
      </c>
      <c r="S58" s="624"/>
      <c r="T58" s="624"/>
      <c r="U58" s="624"/>
    </row>
    <row r="59" spans="2:21" ht="25.5" x14ac:dyDescent="0.2">
      <c r="B59" s="560"/>
      <c r="C59" s="978" t="s">
        <v>136</v>
      </c>
      <c r="D59" s="897"/>
      <c r="E59" s="671">
        <f>'Margen B'!D128</f>
        <v>0</v>
      </c>
      <c r="F59" s="671">
        <f>'Margen B'!E128</f>
        <v>0</v>
      </c>
      <c r="G59" s="671">
        <f>'Margen B'!F128</f>
        <v>0</v>
      </c>
      <c r="H59" s="671">
        <f>'Margen B'!G128</f>
        <v>0</v>
      </c>
      <c r="I59" s="671">
        <f>'Margen B'!H128</f>
        <v>0</v>
      </c>
      <c r="J59" s="671">
        <f>'Margen B'!I128</f>
        <v>0</v>
      </c>
      <c r="K59" s="671">
        <f>'Margen B'!J128</f>
        <v>0</v>
      </c>
      <c r="L59" s="671">
        <f>'Margen B'!K128</f>
        <v>0</v>
      </c>
      <c r="M59" s="671">
        <f>'Margen B'!L128</f>
        <v>0</v>
      </c>
      <c r="N59" s="671">
        <f>'Margen B'!M128</f>
        <v>0</v>
      </c>
      <c r="O59" s="671">
        <f>'Margen B'!N128</f>
        <v>0</v>
      </c>
      <c r="P59" s="671">
        <f>'Margen B'!O128</f>
        <v>0</v>
      </c>
      <c r="Q59" s="647"/>
      <c r="R59" s="572">
        <f t="shared" si="0"/>
        <v>0</v>
      </c>
      <c r="S59" s="624"/>
      <c r="T59" s="624"/>
      <c r="U59" s="624"/>
    </row>
    <row r="60" spans="2:21" s="75" customFormat="1" ht="15" customHeight="1" x14ac:dyDescent="0.25">
      <c r="B60" s="860" t="s">
        <v>419</v>
      </c>
      <c r="C60" s="852"/>
      <c r="D60" s="1021">
        <f>SUM(D57:D59)</f>
        <v>0</v>
      </c>
      <c r="E60" s="1022">
        <f>SUM(E57:E59)+E54</f>
        <v>0</v>
      </c>
      <c r="F60" s="1022">
        <f t="shared" ref="F60:P60" si="1">SUM(F57:F59)+F54</f>
        <v>0</v>
      </c>
      <c r="G60" s="1022">
        <f t="shared" si="1"/>
        <v>0</v>
      </c>
      <c r="H60" s="1022">
        <f t="shared" si="1"/>
        <v>0</v>
      </c>
      <c r="I60" s="1022">
        <f t="shared" si="1"/>
        <v>0</v>
      </c>
      <c r="J60" s="1022">
        <f t="shared" si="1"/>
        <v>0</v>
      </c>
      <c r="K60" s="1022">
        <f t="shared" si="1"/>
        <v>0</v>
      </c>
      <c r="L60" s="1022">
        <f t="shared" si="1"/>
        <v>0</v>
      </c>
      <c r="M60" s="1022">
        <f t="shared" si="1"/>
        <v>0</v>
      </c>
      <c r="N60" s="1022">
        <f t="shared" si="1"/>
        <v>0</v>
      </c>
      <c r="O60" s="1022">
        <f t="shared" si="1"/>
        <v>0</v>
      </c>
      <c r="P60" s="1022">
        <f t="shared" si="1"/>
        <v>0</v>
      </c>
      <c r="Q60" s="1022"/>
      <c r="R60" s="1023">
        <f>SUM(D60:Q60)</f>
        <v>0</v>
      </c>
      <c r="S60" s="624"/>
      <c r="T60" s="759"/>
      <c r="U60" s="759"/>
    </row>
    <row r="61" spans="2:21" x14ac:dyDescent="0.2">
      <c r="B61" s="632" t="s">
        <v>385</v>
      </c>
      <c r="C61" s="574"/>
      <c r="D61" s="42"/>
      <c r="E61" s="290"/>
      <c r="F61" s="290"/>
      <c r="G61" s="290"/>
      <c r="H61" s="290"/>
      <c r="I61" s="290"/>
      <c r="J61" s="290"/>
      <c r="K61" s="290"/>
      <c r="L61" s="290"/>
      <c r="M61" s="290"/>
      <c r="N61" s="290"/>
      <c r="O61" s="290"/>
      <c r="P61" s="290"/>
      <c r="Q61" s="161"/>
      <c r="R61" s="573">
        <f>SUM(D61:Q61)</f>
        <v>0</v>
      </c>
    </row>
    <row r="62" spans="2:21" x14ac:dyDescent="0.2">
      <c r="B62" s="560"/>
      <c r="C62" s="41"/>
      <c r="D62" s="899"/>
      <c r="E62" s="769"/>
      <c r="F62" s="769"/>
      <c r="G62" s="769"/>
      <c r="H62" s="769"/>
      <c r="I62" s="769"/>
      <c r="J62" s="769"/>
      <c r="K62" s="769"/>
      <c r="L62" s="769"/>
      <c r="M62" s="769"/>
      <c r="N62" s="769"/>
      <c r="O62" s="769"/>
      <c r="P62" s="769"/>
      <c r="Q62" s="779"/>
      <c r="R62" s="783"/>
      <c r="S62" s="624"/>
      <c r="T62" s="624"/>
      <c r="U62" s="624"/>
    </row>
    <row r="63" spans="2:21" s="75" customFormat="1" ht="15" customHeight="1" x14ac:dyDescent="0.25">
      <c r="B63" s="861" t="s">
        <v>420</v>
      </c>
      <c r="C63" s="852"/>
      <c r="D63" s="898">
        <f t="shared" ref="D63:Q63" si="2">+D53+D54-D60+D61</f>
        <v>0</v>
      </c>
      <c r="E63" s="853">
        <f t="shared" si="2"/>
        <v>0</v>
      </c>
      <c r="F63" s="853">
        <f t="shared" si="2"/>
        <v>0</v>
      </c>
      <c r="G63" s="853">
        <f t="shared" si="2"/>
        <v>0</v>
      </c>
      <c r="H63" s="853">
        <f t="shared" si="2"/>
        <v>0</v>
      </c>
      <c r="I63" s="853">
        <f t="shared" si="2"/>
        <v>0</v>
      </c>
      <c r="J63" s="853">
        <f t="shared" si="2"/>
        <v>0</v>
      </c>
      <c r="K63" s="853">
        <f t="shared" si="2"/>
        <v>0</v>
      </c>
      <c r="L63" s="853">
        <f t="shared" si="2"/>
        <v>0</v>
      </c>
      <c r="M63" s="853">
        <f t="shared" si="2"/>
        <v>0</v>
      </c>
      <c r="N63" s="853">
        <f t="shared" si="2"/>
        <v>0</v>
      </c>
      <c r="O63" s="853">
        <f t="shared" si="2"/>
        <v>0</v>
      </c>
      <c r="P63" s="853">
        <f t="shared" si="2"/>
        <v>0</v>
      </c>
      <c r="Q63" s="853">
        <f t="shared" si="2"/>
        <v>0</v>
      </c>
      <c r="R63" s="862">
        <f t="shared" si="0"/>
        <v>0</v>
      </c>
      <c r="S63" s="759"/>
      <c r="T63" s="759"/>
      <c r="U63" s="759"/>
    </row>
    <row r="64" spans="2:21" s="75" customFormat="1" ht="9" customHeight="1" x14ac:dyDescent="0.25">
      <c r="B64" s="562"/>
      <c r="D64" s="900"/>
      <c r="E64" s="677"/>
      <c r="F64" s="677"/>
      <c r="G64" s="677"/>
      <c r="H64" s="677"/>
      <c r="I64" s="677"/>
      <c r="J64" s="677"/>
      <c r="K64" s="677"/>
      <c r="L64" s="677"/>
      <c r="M64" s="677"/>
      <c r="N64" s="677"/>
      <c r="O64" s="677"/>
      <c r="P64" s="677"/>
      <c r="Q64" s="784"/>
      <c r="R64" s="785"/>
      <c r="S64" s="759"/>
      <c r="T64" s="759"/>
      <c r="U64" s="759"/>
    </row>
    <row r="65" spans="2:22" x14ac:dyDescent="0.2">
      <c r="B65" s="210" t="str">
        <f>'Previsión de Gastos'!B12</f>
        <v>Gastos de personal:</v>
      </c>
      <c r="D65" s="901"/>
      <c r="E65" s="624"/>
      <c r="F65" s="624"/>
      <c r="G65" s="624"/>
      <c r="H65" s="624"/>
      <c r="I65" s="624"/>
      <c r="J65" s="624"/>
      <c r="K65" s="624"/>
      <c r="L65" s="624"/>
      <c r="M65" s="624"/>
      <c r="N65" s="624"/>
      <c r="O65" s="624"/>
      <c r="P65" s="624"/>
      <c r="Q65" s="781"/>
      <c r="R65" s="782"/>
      <c r="S65" s="624"/>
      <c r="T65" s="624"/>
      <c r="U65" s="624"/>
    </row>
    <row r="66" spans="2:22" x14ac:dyDescent="0.2">
      <c r="B66" s="296"/>
      <c r="C66" s="150" t="str">
        <f>'Previsión de Gastos'!B13</f>
        <v>Formación del personal</v>
      </c>
      <c r="D66" s="902">
        <f>'Entrada Inver_Finan'!D67</f>
        <v>0</v>
      </c>
      <c r="E66" s="299">
        <f>IF('Datos generales'!$O$10&gt;'Datos generales'!E$1,0,'Previsión de Gastos'!C13)</f>
        <v>0</v>
      </c>
      <c r="F66" s="299">
        <f>IF('Datos generales'!$O$10&gt;'Datos generales'!F$1,0,'Previsión de Gastos'!D13)</f>
        <v>0</v>
      </c>
      <c r="G66" s="299">
        <f>IF('Datos generales'!$O$10&gt;'Datos generales'!G$1,0,'Previsión de Gastos'!E13)</f>
        <v>0</v>
      </c>
      <c r="H66" s="299">
        <f>IF('Datos generales'!$O$10&gt;'Datos generales'!H$1,0,'Previsión de Gastos'!F13)</f>
        <v>0</v>
      </c>
      <c r="I66" s="299">
        <f>IF('Datos generales'!$O$10&gt;'Datos generales'!I$1,0,'Previsión de Gastos'!G13)</f>
        <v>0</v>
      </c>
      <c r="J66" s="299">
        <f>IF('Datos generales'!$O$10&gt;'Datos generales'!J$1,0,'Previsión de Gastos'!H13)</f>
        <v>0</v>
      </c>
      <c r="K66" s="299">
        <f>IF('Datos generales'!$O$10&gt;'Datos generales'!K$1,0,'Previsión de Gastos'!I13)</f>
        <v>0</v>
      </c>
      <c r="L66" s="299">
        <f>IF('Datos generales'!$O$10&gt;'Datos generales'!L$1,0,'Previsión de Gastos'!J13)</f>
        <v>0</v>
      </c>
      <c r="M66" s="299">
        <f>IF('Datos generales'!$O$10&gt;'Datos generales'!M$1,0,'Previsión de Gastos'!K13)</f>
        <v>0</v>
      </c>
      <c r="N66" s="299">
        <f>IF('Datos generales'!$O$10&gt;'Datos generales'!N$1,0,'Previsión de Gastos'!L13)</f>
        <v>0</v>
      </c>
      <c r="O66" s="299">
        <f>IF('Datos generales'!$O$10&gt;'Datos generales'!O$1,0,'Previsión de Gastos'!M13)</f>
        <v>0</v>
      </c>
      <c r="P66" s="299">
        <f>IF('Datos generales'!$O$10&gt;'Datos generales'!P$1,0,'Previsión de Gastos'!N13)</f>
        <v>0</v>
      </c>
      <c r="Q66" s="638"/>
      <c r="R66" s="573">
        <f t="shared" si="0"/>
        <v>0</v>
      </c>
    </row>
    <row r="67" spans="2:22" x14ac:dyDescent="0.2">
      <c r="B67" s="296"/>
      <c r="C67" s="150" t="str">
        <f>'Previsión de Gastos'!B14</f>
        <v>Promotor  (Sueldo + S.S.)</v>
      </c>
      <c r="D67" s="903"/>
      <c r="E67" s="786">
        <f>IF('Previsión de Gastos'!$T$14&gt;'Datos generales'!E$1,0,'Previsión de Gastos'!C14)</f>
        <v>0</v>
      </c>
      <c r="F67" s="786">
        <f>IF('Previsión de Gastos'!$T$14&gt;'Datos generales'!F$1,0,'Previsión de Gastos'!D14)</f>
        <v>0</v>
      </c>
      <c r="G67" s="786">
        <f>IF('Previsión de Gastos'!$T$14&gt;'Datos generales'!G$1,0,'Previsión de Gastos'!E14)</f>
        <v>0</v>
      </c>
      <c r="H67" s="786">
        <f>IF('Previsión de Gastos'!$T$14&gt;'Datos generales'!H$1,0,'Previsión de Gastos'!F14)</f>
        <v>0</v>
      </c>
      <c r="I67" s="786">
        <f>IF('Previsión de Gastos'!$T$14&gt;'Datos generales'!I$1,0,'Previsión de Gastos'!G14)</f>
        <v>0</v>
      </c>
      <c r="J67" s="786">
        <f>IF('Previsión de Gastos'!$T$14&gt;'Datos generales'!J$1,0,'Previsión de Gastos'!H14)</f>
        <v>0</v>
      </c>
      <c r="K67" s="786">
        <f>IF('Previsión de Gastos'!$T$14&gt;'Datos generales'!K$1,0,'Previsión de Gastos'!I14)</f>
        <v>0</v>
      </c>
      <c r="L67" s="786">
        <f>IF('Previsión de Gastos'!$T$14&gt;'Datos generales'!L$1,0,'Previsión de Gastos'!J14)</f>
        <v>0</v>
      </c>
      <c r="M67" s="786">
        <f>IF('Previsión de Gastos'!$T$14&gt;'Datos generales'!M$1,0,'Previsión de Gastos'!K14)</f>
        <v>0</v>
      </c>
      <c r="N67" s="786">
        <f>IF('Previsión de Gastos'!$T$14&gt;'Datos generales'!N$1,0,'Previsión de Gastos'!L14)</f>
        <v>0</v>
      </c>
      <c r="O67" s="786">
        <f>IF('Previsión de Gastos'!$T$14&gt;'Datos generales'!O$1,0,'Previsión de Gastos'!M14)</f>
        <v>0</v>
      </c>
      <c r="P67" s="786">
        <f>IF('Previsión de Gastos'!$T$14&gt;'Datos generales'!P$1,0,'Previsión de Gastos'!N14)</f>
        <v>0</v>
      </c>
      <c r="Q67" s="647"/>
      <c r="R67" s="778">
        <f t="shared" si="0"/>
        <v>0</v>
      </c>
      <c r="S67" s="624"/>
      <c r="T67" s="624"/>
      <c r="U67" s="624"/>
    </row>
    <row r="68" spans="2:22" x14ac:dyDescent="0.2">
      <c r="B68" s="296"/>
      <c r="C68" s="150" t="str">
        <f>'Previsión de Gastos'!B15</f>
        <v>Asalariado (Sueldo + S.S.)</v>
      </c>
      <c r="D68" s="289"/>
      <c r="E68" s="786">
        <f>IF('Previsión de Gastos'!$T$15&gt;'Datos generales'!E$1,0,'Previsión de Gastos'!C15)</f>
        <v>0</v>
      </c>
      <c r="F68" s="786">
        <f>IF('Previsión de Gastos'!$T$15&gt;'Datos generales'!F$1,0,'Previsión de Gastos'!D15)</f>
        <v>0</v>
      </c>
      <c r="G68" s="786">
        <f>IF('Previsión de Gastos'!$T$15&gt;'Datos generales'!G$1,0,'Previsión de Gastos'!E15)</f>
        <v>0</v>
      </c>
      <c r="H68" s="786">
        <f>IF('Previsión de Gastos'!$T$15&gt;'Datos generales'!H$1,0,'Previsión de Gastos'!F15)</f>
        <v>0</v>
      </c>
      <c r="I68" s="786">
        <f>IF('Previsión de Gastos'!$T$15&gt;'Datos generales'!I$1,0,'Previsión de Gastos'!G15)</f>
        <v>0</v>
      </c>
      <c r="J68" s="786">
        <f>IF('Previsión de Gastos'!$T$15&gt;'Datos generales'!J$1,0,'Previsión de Gastos'!H15)</f>
        <v>0</v>
      </c>
      <c r="K68" s="786">
        <f>IF('Previsión de Gastos'!$T$15&gt;'Datos generales'!K$1,0,'Previsión de Gastos'!I15)</f>
        <v>0</v>
      </c>
      <c r="L68" s="786">
        <f>IF('Previsión de Gastos'!$T$15&gt;'Datos generales'!L$1,0,'Previsión de Gastos'!J15)</f>
        <v>0</v>
      </c>
      <c r="M68" s="786">
        <f>IF('Previsión de Gastos'!$T$15&gt;'Datos generales'!M$1,0,'Previsión de Gastos'!K15)</f>
        <v>0</v>
      </c>
      <c r="N68" s="786">
        <f>IF('Previsión de Gastos'!$T$15&gt;'Datos generales'!N$1,0,'Previsión de Gastos'!L15)</f>
        <v>0</v>
      </c>
      <c r="O68" s="786">
        <f>IF('Previsión de Gastos'!$T$15&gt;'Datos generales'!O$1,0,'Previsión de Gastos'!M15)</f>
        <v>0</v>
      </c>
      <c r="P68" s="786">
        <f>IF('Previsión de Gastos'!$T$15&gt;'Datos generales'!P$1,0,'Previsión de Gastos'!N15)</f>
        <v>0</v>
      </c>
      <c r="Q68" s="637"/>
      <c r="R68" s="572">
        <f t="shared" si="0"/>
        <v>0</v>
      </c>
    </row>
    <row r="69" spans="2:22" x14ac:dyDescent="0.2">
      <c r="B69" s="296"/>
      <c r="C69" s="150">
        <f>'Previsión de Gastos'!B16</f>
        <v>0</v>
      </c>
      <c r="D69" s="671"/>
      <c r="E69" s="786">
        <f>IF('Previsión de Gastos'!$T$16&gt;'Datos generales'!E$1,0,'Previsión de Gastos'!C16)</f>
        <v>0</v>
      </c>
      <c r="F69" s="786">
        <f>IF('Previsión de Gastos'!$T$16&gt;'Datos generales'!F$1,0,'Previsión de Gastos'!D16)</f>
        <v>0</v>
      </c>
      <c r="G69" s="786">
        <f>IF('Previsión de Gastos'!$T$16&gt;'Datos generales'!G$1,0,'Previsión de Gastos'!E16)</f>
        <v>0</v>
      </c>
      <c r="H69" s="786">
        <f>IF('Previsión de Gastos'!$T$16&gt;'Datos generales'!H$1,0,'Previsión de Gastos'!F16)</f>
        <v>0</v>
      </c>
      <c r="I69" s="786">
        <f>IF('Previsión de Gastos'!$T$16&gt;'Datos generales'!I$1,0,'Previsión de Gastos'!G16)</f>
        <v>0</v>
      </c>
      <c r="J69" s="786">
        <f>IF('Previsión de Gastos'!$T$16&gt;'Datos generales'!J$1,0,'Previsión de Gastos'!H16)</f>
        <v>0</v>
      </c>
      <c r="K69" s="786">
        <f>IF('Previsión de Gastos'!$T$16&gt;'Datos generales'!K$1,0,'Previsión de Gastos'!I16)</f>
        <v>0</v>
      </c>
      <c r="L69" s="786">
        <f>IF('Previsión de Gastos'!$T$16&gt;'Datos generales'!L$1,0,'Previsión de Gastos'!J16)</f>
        <v>0</v>
      </c>
      <c r="M69" s="786">
        <f>IF('Previsión de Gastos'!$T$16&gt;'Datos generales'!M$1,0,'Previsión de Gastos'!K16)</f>
        <v>0</v>
      </c>
      <c r="N69" s="786">
        <f>IF('Previsión de Gastos'!$T$16&gt;'Datos generales'!N$1,0,'Previsión de Gastos'!L16)</f>
        <v>0</v>
      </c>
      <c r="O69" s="786">
        <f>IF('Previsión de Gastos'!$T$16&gt;'Datos generales'!O$1,0,'Previsión de Gastos'!M16)</f>
        <v>0</v>
      </c>
      <c r="P69" s="786">
        <f>IF('Previsión de Gastos'!$T$16&gt;'Datos generales'!P$1,0,'Previsión de Gastos'!N16)</f>
        <v>0</v>
      </c>
      <c r="Q69" s="647"/>
      <c r="R69" s="778">
        <f t="shared" si="0"/>
        <v>0</v>
      </c>
      <c r="S69" s="624"/>
      <c r="T69" s="624"/>
      <c r="U69" s="624"/>
    </row>
    <row r="70" spans="2:22" x14ac:dyDescent="0.2">
      <c r="B70" s="296"/>
      <c r="C70" s="156">
        <f>'Previsión de Gastos'!B17</f>
        <v>0</v>
      </c>
      <c r="D70" s="289"/>
      <c r="E70" s="786">
        <f>IF('Previsión de Gastos'!$T$17&gt;'Datos generales'!E$1,0,'Previsión de Gastos'!C17)</f>
        <v>0</v>
      </c>
      <c r="F70" s="786">
        <f>IF('Previsión de Gastos'!$T$17&gt;'Datos generales'!F$1,0,'Previsión de Gastos'!D17)</f>
        <v>0</v>
      </c>
      <c r="G70" s="786">
        <f>IF('Previsión de Gastos'!$T$17&gt;'Datos generales'!G$1,0,'Previsión de Gastos'!E17)</f>
        <v>0</v>
      </c>
      <c r="H70" s="786">
        <f>IF('Previsión de Gastos'!$T$17&gt;'Datos generales'!H$1,0,'Previsión de Gastos'!F17)</f>
        <v>0</v>
      </c>
      <c r="I70" s="786">
        <f>IF('Previsión de Gastos'!$T$17&gt;'Datos generales'!I$1,0,'Previsión de Gastos'!G17)</f>
        <v>0</v>
      </c>
      <c r="J70" s="786">
        <f>IF('Previsión de Gastos'!$T$17&gt;'Datos generales'!J$1,0,'Previsión de Gastos'!H17)</f>
        <v>0</v>
      </c>
      <c r="K70" s="786">
        <f>IF('Previsión de Gastos'!$T$17&gt;'Datos generales'!K$1,0,'Previsión de Gastos'!I17)</f>
        <v>0</v>
      </c>
      <c r="L70" s="786">
        <f>IF('Previsión de Gastos'!$T$17&gt;'Datos generales'!L$1,0,'Previsión de Gastos'!J17)</f>
        <v>0</v>
      </c>
      <c r="M70" s="786">
        <f>IF('Previsión de Gastos'!$T$17&gt;'Datos generales'!M$1,0,'Previsión de Gastos'!K17)</f>
        <v>0</v>
      </c>
      <c r="N70" s="786">
        <f>IF('Previsión de Gastos'!$T$17&gt;'Datos generales'!N$1,0,'Previsión de Gastos'!L17)</f>
        <v>0</v>
      </c>
      <c r="O70" s="786">
        <f>IF('Previsión de Gastos'!$T$17&gt;'Datos generales'!O$1,0,'Previsión de Gastos'!M17)</f>
        <v>0</v>
      </c>
      <c r="P70" s="786">
        <f>IF('Previsión de Gastos'!$T$17&gt;'Datos generales'!P$1,0,'Previsión de Gastos'!N17)</f>
        <v>0</v>
      </c>
      <c r="Q70" s="637"/>
      <c r="R70" s="572">
        <f>SUM(D70:Q70)</f>
        <v>0</v>
      </c>
    </row>
    <row r="71" spans="2:22" x14ac:dyDescent="0.2">
      <c r="B71" s="296"/>
      <c r="C71">
        <f>'Previsión de Gastos'!B18</f>
        <v>0</v>
      </c>
      <c r="D71" s="289"/>
      <c r="E71" s="671">
        <f>IF('Previsión de Gastos'!$T$18&gt;'Datos generales'!E$1,0,'Previsión de Gastos'!C18)</f>
        <v>0</v>
      </c>
      <c r="F71" s="671">
        <f>IF('Previsión de Gastos'!$T$18&gt;'Datos generales'!F$1,0,'Previsión de Gastos'!D18)</f>
        <v>0</v>
      </c>
      <c r="G71" s="671">
        <f>IF('Previsión de Gastos'!$T$18&gt;'Datos generales'!G$1,0,'Previsión de Gastos'!E18)</f>
        <v>0</v>
      </c>
      <c r="H71" s="671">
        <f>IF('Previsión de Gastos'!$T$18&gt;'Datos generales'!H$1,0,'Previsión de Gastos'!F18)</f>
        <v>0</v>
      </c>
      <c r="I71" s="671">
        <f>IF('Previsión de Gastos'!$T$18&gt;'Datos generales'!I$1,0,'Previsión de Gastos'!G18)</f>
        <v>0</v>
      </c>
      <c r="J71" s="671">
        <f>IF('Previsión de Gastos'!$T$18&gt;'Datos generales'!J$1,0,'Previsión de Gastos'!H18)</f>
        <v>0</v>
      </c>
      <c r="K71" s="671">
        <f>IF('Previsión de Gastos'!$T$18&gt;'Datos generales'!K$1,0,'Previsión de Gastos'!I18)</f>
        <v>0</v>
      </c>
      <c r="L71" s="671">
        <f>IF('Previsión de Gastos'!$T$18&gt;'Datos generales'!L$1,0,'Previsión de Gastos'!J18)</f>
        <v>0</v>
      </c>
      <c r="M71" s="671">
        <f>IF('Previsión de Gastos'!$T$18&gt;'Datos generales'!M$1,0,'Previsión de Gastos'!K18)</f>
        <v>0</v>
      </c>
      <c r="N71" s="671">
        <f>IF('Previsión de Gastos'!$T$18&gt;'Datos generales'!N$1,0,'Previsión de Gastos'!L18)</f>
        <v>0</v>
      </c>
      <c r="O71" s="671">
        <f>IF('Previsión de Gastos'!$T$18&gt;'Datos generales'!O$1,0,'Previsión de Gastos'!M18)</f>
        <v>0</v>
      </c>
      <c r="P71" s="671">
        <f>IF('Previsión de Gastos'!$T$18&gt;'Datos generales'!P$1,0,'Previsión de Gastos'!N18)</f>
        <v>0</v>
      </c>
      <c r="Q71" s="637"/>
      <c r="R71" s="572">
        <f t="shared" si="0"/>
        <v>0</v>
      </c>
    </row>
    <row r="72" spans="2:22" x14ac:dyDescent="0.2">
      <c r="B72" s="859" t="str">
        <f>'Previsión de Gastos'!B19</f>
        <v>Total Gastos de personal</v>
      </c>
      <c r="C72" s="476"/>
      <c r="D72" s="904">
        <f>SUM(D66:D71)</f>
        <v>0</v>
      </c>
      <c r="E72" s="856">
        <f>SUM(E66:E71)</f>
        <v>0</v>
      </c>
      <c r="F72" s="856">
        <f t="shared" ref="F72:P72" si="3">SUM(F66:F71)</f>
        <v>0</v>
      </c>
      <c r="G72" s="856">
        <f t="shared" si="3"/>
        <v>0</v>
      </c>
      <c r="H72" s="856">
        <f t="shared" si="3"/>
        <v>0</v>
      </c>
      <c r="I72" s="856">
        <f t="shared" si="3"/>
        <v>0</v>
      </c>
      <c r="J72" s="856">
        <f t="shared" si="3"/>
        <v>0</v>
      </c>
      <c r="K72" s="856">
        <f t="shared" si="3"/>
        <v>0</v>
      </c>
      <c r="L72" s="856">
        <f t="shared" si="3"/>
        <v>0</v>
      </c>
      <c r="M72" s="856">
        <f t="shared" si="3"/>
        <v>0</v>
      </c>
      <c r="N72" s="856">
        <f t="shared" si="3"/>
        <v>0</v>
      </c>
      <c r="O72" s="856">
        <f t="shared" si="3"/>
        <v>0</v>
      </c>
      <c r="P72" s="856">
        <f t="shared" si="3"/>
        <v>0</v>
      </c>
      <c r="Q72" s="857"/>
      <c r="R72" s="858">
        <f t="shared" si="0"/>
        <v>0</v>
      </c>
      <c r="S72" s="624"/>
      <c r="T72" s="624"/>
      <c r="U72" s="624"/>
    </row>
    <row r="73" spans="2:22" ht="4.5" customHeight="1" x14ac:dyDescent="0.2">
      <c r="B73" s="210"/>
      <c r="C73" s="1"/>
      <c r="D73" s="901"/>
      <c r="E73" s="624"/>
      <c r="F73" s="624"/>
      <c r="G73" s="624"/>
      <c r="H73" s="624"/>
      <c r="I73" s="624"/>
      <c r="J73" s="624"/>
      <c r="K73" s="624"/>
      <c r="L73" s="624"/>
      <c r="M73" s="624"/>
      <c r="N73" s="624"/>
      <c r="O73" s="624"/>
      <c r="P73" s="624"/>
      <c r="Q73" s="781"/>
      <c r="R73" s="782"/>
      <c r="S73" s="624"/>
      <c r="T73" s="624"/>
      <c r="U73" s="624"/>
    </row>
    <row r="74" spans="2:22" ht="15" customHeight="1" x14ac:dyDescent="0.25">
      <c r="B74" s="561" t="s">
        <v>389</v>
      </c>
      <c r="C74" s="1"/>
      <c r="D74" s="901"/>
      <c r="E74" s="624"/>
      <c r="F74" s="624"/>
      <c r="G74" s="624"/>
      <c r="H74" s="624"/>
      <c r="I74" s="624"/>
      <c r="J74" s="624"/>
      <c r="K74" s="624"/>
      <c r="L74" s="624"/>
      <c r="M74" s="624"/>
      <c r="N74" s="624"/>
      <c r="O74" s="624"/>
      <c r="P74" s="624"/>
      <c r="Q74" s="781"/>
      <c r="R74" s="782"/>
      <c r="T74" s="624"/>
      <c r="U74" s="624"/>
    </row>
    <row r="75" spans="2:22" ht="6" customHeight="1" x14ac:dyDescent="0.2">
      <c r="B75" s="210"/>
      <c r="C75" s="1"/>
      <c r="D75" s="901"/>
      <c r="E75" s="624"/>
      <c r="F75" s="624"/>
      <c r="G75" s="624"/>
      <c r="H75" s="624"/>
      <c r="I75" s="624"/>
      <c r="J75" s="624"/>
      <c r="K75" s="624"/>
      <c r="L75" s="624"/>
      <c r="M75" s="624"/>
      <c r="N75" s="624"/>
      <c r="O75" s="624"/>
      <c r="P75" s="624"/>
      <c r="Q75" s="781"/>
      <c r="R75" s="782"/>
      <c r="S75" s="624"/>
      <c r="T75" s="624"/>
      <c r="U75" s="624"/>
    </row>
    <row r="76" spans="2:22" x14ac:dyDescent="0.2">
      <c r="B76" s="296"/>
      <c r="C76" s="1" t="str">
        <f>'Previsión de Gastos'!B20</f>
        <v>Tributos e impuestos:</v>
      </c>
      <c r="Q76" s="161"/>
      <c r="R76" s="557"/>
    </row>
    <row r="77" spans="2:22" x14ac:dyDescent="0.2">
      <c r="B77" s="296"/>
      <c r="C77" s="150" t="str">
        <f>'Previsión de Gastos'!B21</f>
        <v>IBI</v>
      </c>
      <c r="D77" s="902"/>
      <c r="E77" s="299">
        <f>IF('Datos generales'!$O$10&gt;'Datos generales'!E$1,0,'Previsión de Gastos'!C21)</f>
        <v>0</v>
      </c>
      <c r="F77" s="299">
        <f>IF('Datos generales'!$O$10&gt;'Datos generales'!F$1,0,'Previsión de Gastos'!D21)</f>
        <v>0</v>
      </c>
      <c r="G77" s="299">
        <f>IF('Datos generales'!$O$10&gt;'Datos generales'!G$1,0,'Previsión de Gastos'!E21)</f>
        <v>0</v>
      </c>
      <c r="H77" s="299">
        <f>IF('Datos generales'!$O$10&gt;'Datos generales'!H$1,0,'Previsión de Gastos'!F21)</f>
        <v>0</v>
      </c>
      <c r="I77" s="299">
        <f>IF('Datos generales'!$O$10&gt;'Datos generales'!I$1,0,'Previsión de Gastos'!G21)</f>
        <v>0</v>
      </c>
      <c r="J77" s="299">
        <f>IF('Datos generales'!$O$10&gt;'Datos generales'!J$1,0,'Previsión de Gastos'!H21)</f>
        <v>0</v>
      </c>
      <c r="K77" s="299">
        <f>IF('Datos generales'!$O$10&gt;'Datos generales'!K$1,0,'Previsión de Gastos'!I21)</f>
        <v>0</v>
      </c>
      <c r="L77" s="299">
        <f>IF('Datos generales'!$O$10&gt;'Datos generales'!L$1,0,'Previsión de Gastos'!J21)</f>
        <v>0</v>
      </c>
      <c r="M77" s="299">
        <f>IF('Datos generales'!$O$10&gt;'Datos generales'!M$1,0,'Previsión de Gastos'!K21)</f>
        <v>0</v>
      </c>
      <c r="N77" s="299">
        <f>IF('Datos generales'!$O$10&gt;'Datos generales'!N$1,0,'Previsión de Gastos'!L21)</f>
        <v>0</v>
      </c>
      <c r="O77" s="299">
        <f>IF('Datos generales'!$O$10&gt;'Datos generales'!O$1,0,'Previsión de Gastos'!M21)</f>
        <v>0</v>
      </c>
      <c r="P77" s="299">
        <f>IF('Datos generales'!$O$10&gt;'Datos generales'!P$1,0,'Previsión de Gastos'!N21)</f>
        <v>0</v>
      </c>
      <c r="Q77" s="638"/>
      <c r="R77" s="573">
        <f t="shared" si="0"/>
        <v>0</v>
      </c>
    </row>
    <row r="78" spans="2:22" x14ac:dyDescent="0.2">
      <c r="B78" s="296"/>
      <c r="C78" s="150" t="str">
        <f>'Previsión de Gastos'!B22</f>
        <v xml:space="preserve">Impuesto de vehículos de tracción mecánica </v>
      </c>
      <c r="D78" s="905"/>
      <c r="E78" s="289">
        <f>IF('Datos generales'!$O$10&gt;'Datos generales'!E$1,0,'Previsión de Gastos'!C22)</f>
        <v>0</v>
      </c>
      <c r="F78" s="289">
        <f>IF('Datos generales'!$O$10&gt;'Datos generales'!F$1,0,'Previsión de Gastos'!D22)</f>
        <v>0</v>
      </c>
      <c r="G78" s="289">
        <f>IF('Datos generales'!$O$10&gt;'Datos generales'!G$1,0,'Previsión de Gastos'!E22)</f>
        <v>0</v>
      </c>
      <c r="H78" s="289">
        <f>IF('Datos generales'!$O$10&gt;'Datos generales'!H$1,0,'Previsión de Gastos'!F22)</f>
        <v>0</v>
      </c>
      <c r="I78" s="289">
        <f>IF('Datos generales'!$O$10&gt;'Datos generales'!I$1,0,'Previsión de Gastos'!G22)</f>
        <v>0</v>
      </c>
      <c r="J78" s="289">
        <f>IF('Datos generales'!$O$10&gt;'Datos generales'!J$1,0,'Previsión de Gastos'!H22)</f>
        <v>0</v>
      </c>
      <c r="K78" s="289">
        <f>IF('Datos generales'!$O$10&gt;'Datos generales'!K$1,0,'Previsión de Gastos'!I22)</f>
        <v>0</v>
      </c>
      <c r="L78" s="289">
        <f>IF('Datos generales'!$O$10&gt;'Datos generales'!L$1,0,'Previsión de Gastos'!J22)</f>
        <v>0</v>
      </c>
      <c r="M78" s="289">
        <f>IF('Datos generales'!$O$10&gt;'Datos generales'!M$1,0,'Previsión de Gastos'!K22)</f>
        <v>0</v>
      </c>
      <c r="N78" s="289">
        <f>IF('Datos generales'!$O$10&gt;'Datos generales'!N$1,0,'Previsión de Gastos'!L22)</f>
        <v>0</v>
      </c>
      <c r="O78" s="289">
        <f>IF('Datos generales'!$O$10&gt;'Datos generales'!O$1,0,'Previsión de Gastos'!M22)</f>
        <v>0</v>
      </c>
      <c r="P78" s="289">
        <f>IF('Datos generales'!$O$10&gt;'Datos generales'!P$1,0,'Previsión de Gastos'!N22)</f>
        <v>0</v>
      </c>
      <c r="Q78" s="637"/>
      <c r="R78" s="572">
        <f t="shared" si="0"/>
        <v>0</v>
      </c>
    </row>
    <row r="79" spans="2:22" x14ac:dyDescent="0.2">
      <c r="B79" s="296"/>
      <c r="C79" s="150" t="str">
        <f>'Previsión de Gastos'!B23</f>
        <v>Impuestos</v>
      </c>
      <c r="D79" s="905"/>
      <c r="E79" s="289">
        <f>IF('Datos generales'!$O$10&gt;'Datos generales'!E$1,0,'Previsión de Gastos'!C23)</f>
        <v>0</v>
      </c>
      <c r="F79" s="289">
        <f>IF('Datos generales'!$O$10&gt;'Datos generales'!F$1,0,'Previsión de Gastos'!D23)</f>
        <v>0</v>
      </c>
      <c r="G79" s="289">
        <f>IF('Datos generales'!$O$10&gt;'Datos generales'!G$1,0,'Previsión de Gastos'!E23)</f>
        <v>0</v>
      </c>
      <c r="H79" s="289">
        <f>IF('Datos generales'!$O$10&gt;'Datos generales'!H$1,0,'Previsión de Gastos'!F23)</f>
        <v>0</v>
      </c>
      <c r="I79" s="289">
        <f>IF('Datos generales'!$O$10&gt;'Datos generales'!I$1,0,'Previsión de Gastos'!G23)</f>
        <v>0</v>
      </c>
      <c r="J79" s="289">
        <f>IF('Datos generales'!$O$10&gt;'Datos generales'!J$1,0,'Previsión de Gastos'!H23)</f>
        <v>0</v>
      </c>
      <c r="K79" s="289">
        <f>IF('Datos generales'!$O$10&gt;'Datos generales'!K$1,0,'Previsión de Gastos'!I23)</f>
        <v>0</v>
      </c>
      <c r="L79" s="289">
        <f>IF('Datos generales'!$O$10&gt;'Datos generales'!L$1,0,'Previsión de Gastos'!J23)</f>
        <v>0</v>
      </c>
      <c r="M79" s="289">
        <f>IF('Datos generales'!$O$10&gt;'Datos generales'!M$1,0,'Previsión de Gastos'!K23)</f>
        <v>0</v>
      </c>
      <c r="N79" s="289">
        <f>IF('Datos generales'!$O$10&gt;'Datos generales'!N$1,0,'Previsión de Gastos'!L23)</f>
        <v>0</v>
      </c>
      <c r="O79" s="289">
        <f>IF('Datos generales'!$O$10&gt;'Datos generales'!O$1,0,'Previsión de Gastos'!M23)</f>
        <v>0</v>
      </c>
      <c r="P79" s="289">
        <f>IF('Datos generales'!$O$10&gt;'Datos generales'!P$1,0,'Previsión de Gastos'!N23)</f>
        <v>0</v>
      </c>
      <c r="Q79" s="637"/>
      <c r="R79" s="572">
        <f t="shared" si="0"/>
        <v>0</v>
      </c>
    </row>
    <row r="80" spans="2:22" x14ac:dyDescent="0.2">
      <c r="B80" s="296"/>
      <c r="C80" s="156" t="s">
        <v>421</v>
      </c>
      <c r="D80" s="302">
        <f>IF('Datos generales'!$D$22&lt;=0,'Datos generales'!D19*('Entrada Inver_Finan'!D63-'Entrada Inver_Finan'!D100+'Entrada Inver_Finan'!G93-'Préstamos LP'!J11),0)</f>
        <v>0</v>
      </c>
      <c r="E80" s="302">
        <f ca="1">IF('Datos generales'!$D$22&lt;=0,OFFSET('Préstamos LP'!$X$35,'Datos generales'!D1,0,1,1),0)</f>
        <v>0</v>
      </c>
      <c r="F80" s="302">
        <f ca="1">IF('Datos generales'!$D$22&lt;=0,OFFSET('Préstamos LP'!$X$35,'Datos generales'!E1,0,1,1),0)</f>
        <v>0</v>
      </c>
      <c r="G80" s="302">
        <f ca="1">IF('Datos generales'!$D$22&lt;=0,OFFSET('Préstamos LP'!$X$35,'Datos generales'!F1,0,1,1),0)</f>
        <v>0</v>
      </c>
      <c r="H80" s="302">
        <f ca="1">IF('Datos generales'!$D$22&lt;=0,OFFSET('Préstamos LP'!$X$35,'Datos generales'!G1,0,1,1),0)</f>
        <v>0</v>
      </c>
      <c r="I80" s="302">
        <f ca="1">IF('Datos generales'!$D$22&lt;=0,OFFSET('Préstamos LP'!$X$35,'Datos generales'!H1,0,1,1),0)</f>
        <v>0</v>
      </c>
      <c r="J80" s="302">
        <f ca="1">IF('Datos generales'!$D$22&lt;=0,OFFSET('Préstamos LP'!$X$35,'Datos generales'!I1,0,1,1),0)</f>
        <v>0</v>
      </c>
      <c r="K80" s="302">
        <f ca="1">IF('Datos generales'!$D$22&lt;=0,OFFSET('Préstamos LP'!$X$35,'Datos generales'!J1,0,1,1),0)</f>
        <v>0</v>
      </c>
      <c r="L80" s="302">
        <f ca="1">IF('Datos generales'!$D$22&lt;=0,OFFSET('Préstamos LP'!$X$35,'Datos generales'!K1,0,1,1),0)</f>
        <v>0</v>
      </c>
      <c r="M80" s="302">
        <f ca="1">IF('Datos generales'!$D$22&lt;=0,OFFSET('Préstamos LP'!$X$35,'Datos generales'!L1,0,1,1),0)</f>
        <v>0</v>
      </c>
      <c r="N80" s="302">
        <f ca="1">IF('Datos generales'!$D$22&lt;=0,OFFSET('Préstamos LP'!$X$35,'Datos generales'!M1,0,1,1),0)</f>
        <v>0</v>
      </c>
      <c r="O80" s="302">
        <f ca="1">IF('Datos generales'!$D$22&lt;=0,OFFSET('Préstamos LP'!$X$35,'Datos generales'!N1,0,1,1),0)</f>
        <v>0</v>
      </c>
      <c r="P80" s="302">
        <f ca="1">IF('Datos generales'!$D$22&lt;=0,OFFSET('Préstamos LP'!$X$35,'Datos generales'!O1,0,1,1),0)</f>
        <v>0</v>
      </c>
      <c r="Q80" s="863">
        <f>IF('Datos generales'!$D$22&lt;=0,'Datos generales'!D19*('Entrada Inver_Finan'!F63-'Préstamos LP'!J12),0)</f>
        <v>0</v>
      </c>
      <c r="R80" s="572">
        <f ca="1">SUM(D80:P80)</f>
        <v>0</v>
      </c>
      <c r="S80" s="58"/>
      <c r="T80" s="58"/>
      <c r="U80" s="58"/>
      <c r="V80" s="58"/>
    </row>
    <row r="81" spans="2:21" x14ac:dyDescent="0.2">
      <c r="B81" s="210"/>
      <c r="C81" s="476" t="str">
        <f>'Previsión de Gastos'!B24</f>
        <v>Total Tributos e impuestos</v>
      </c>
      <c r="D81" s="906">
        <f>SUM(D77:D80)</f>
        <v>0</v>
      </c>
      <c r="E81" s="201">
        <f t="shared" ref="E81:P81" ca="1" si="4">SUM(E77:E80)</f>
        <v>0</v>
      </c>
      <c r="F81" s="201">
        <f t="shared" ca="1" si="4"/>
        <v>0</v>
      </c>
      <c r="G81" s="201">
        <f t="shared" ca="1" si="4"/>
        <v>0</v>
      </c>
      <c r="H81" s="201">
        <f t="shared" ca="1" si="4"/>
        <v>0</v>
      </c>
      <c r="I81" s="201">
        <f t="shared" ca="1" si="4"/>
        <v>0</v>
      </c>
      <c r="J81" s="201">
        <f t="shared" ca="1" si="4"/>
        <v>0</v>
      </c>
      <c r="K81" s="201">
        <f t="shared" ca="1" si="4"/>
        <v>0</v>
      </c>
      <c r="L81" s="201">
        <f t="shared" ca="1" si="4"/>
        <v>0</v>
      </c>
      <c r="M81" s="201">
        <f t="shared" ca="1" si="4"/>
        <v>0</v>
      </c>
      <c r="N81" s="201">
        <f t="shared" ca="1" si="4"/>
        <v>0</v>
      </c>
      <c r="O81" s="201">
        <f t="shared" ca="1" si="4"/>
        <v>0</v>
      </c>
      <c r="P81" s="201">
        <f t="shared" ca="1" si="4"/>
        <v>0</v>
      </c>
      <c r="Q81" s="348">
        <f>SUM(Q77:Q80)</f>
        <v>0</v>
      </c>
      <c r="R81" s="864">
        <f t="shared" ca="1" si="0"/>
        <v>0</v>
      </c>
    </row>
    <row r="82" spans="2:21" x14ac:dyDescent="0.2">
      <c r="B82" s="296"/>
      <c r="C82" s="1" t="str">
        <f>'Previsión de Gastos'!B31</f>
        <v>Gastos comerciales:</v>
      </c>
      <c r="Q82" s="161"/>
      <c r="R82" s="557">
        <f t="shared" si="0"/>
        <v>0</v>
      </c>
    </row>
    <row r="83" spans="2:21" x14ac:dyDescent="0.2">
      <c r="B83" s="296"/>
      <c r="C83" s="150" t="str">
        <f>'Previsión de Gastos'!B32</f>
        <v>Publicidad y propaganda</v>
      </c>
      <c r="D83" s="902"/>
      <c r="E83" s="299">
        <f>IF('Datos generales'!$O$10&gt;'Datos generales'!E$1,0,'Previsión de Gastos'!C32)</f>
        <v>0</v>
      </c>
      <c r="F83" s="299">
        <f>IF('Datos generales'!$O$10&gt;'Datos generales'!F$1,0,'Previsión de Gastos'!D32)</f>
        <v>0</v>
      </c>
      <c r="G83" s="299">
        <f>IF('Datos generales'!$O$10&gt;'Datos generales'!G$1,0,'Previsión de Gastos'!E32)</f>
        <v>0</v>
      </c>
      <c r="H83" s="299">
        <f>IF('Datos generales'!$O$10&gt;'Datos generales'!H$1,0,'Previsión de Gastos'!F32)</f>
        <v>0</v>
      </c>
      <c r="I83" s="299">
        <f>IF('Datos generales'!$O$10&gt;'Datos generales'!I$1,0,'Previsión de Gastos'!G32)</f>
        <v>0</v>
      </c>
      <c r="J83" s="299">
        <f>IF('Datos generales'!$O$10&gt;'Datos generales'!J$1,0,'Previsión de Gastos'!H32)</f>
        <v>0</v>
      </c>
      <c r="K83" s="299">
        <f>IF('Datos generales'!$O$10&gt;'Datos generales'!K$1,0,'Previsión de Gastos'!I32)</f>
        <v>0</v>
      </c>
      <c r="L83" s="299">
        <f>IF('Datos generales'!$O$10&gt;'Datos generales'!L$1,0,'Previsión de Gastos'!J32)</f>
        <v>0</v>
      </c>
      <c r="M83" s="299">
        <f>IF('Datos generales'!$O$10&gt;'Datos generales'!M$1,0,'Previsión de Gastos'!K32)</f>
        <v>0</v>
      </c>
      <c r="N83" s="299">
        <f>IF('Datos generales'!$O$10&gt;'Datos generales'!N$1,0,'Previsión de Gastos'!L32)</f>
        <v>0</v>
      </c>
      <c r="O83" s="299">
        <f>IF('Datos generales'!$O$10&gt;'Datos generales'!O$1,0,'Previsión de Gastos'!M32)</f>
        <v>0</v>
      </c>
      <c r="P83" s="299">
        <f>IF('Datos generales'!$O$10&gt;'Datos generales'!P$1,0,'Previsión de Gastos'!N32)</f>
        <v>0</v>
      </c>
      <c r="Q83" s="638"/>
      <c r="R83" s="573">
        <f t="shared" si="0"/>
        <v>0</v>
      </c>
    </row>
    <row r="84" spans="2:21" x14ac:dyDescent="0.2">
      <c r="B84" s="296"/>
      <c r="C84" s="150">
        <f>'Previsión de Gastos'!B33</f>
        <v>0</v>
      </c>
      <c r="D84" s="905"/>
      <c r="E84" s="289">
        <f>IF('Datos generales'!$O$10&gt;'Datos generales'!E$1,0,'Previsión de Gastos'!C33)</f>
        <v>0</v>
      </c>
      <c r="F84" s="289">
        <f>IF('Datos generales'!$O$10&gt;'Datos generales'!F$1,0,'Previsión de Gastos'!D33)</f>
        <v>0</v>
      </c>
      <c r="G84" s="289">
        <f>IF('Datos generales'!$O$10&gt;'Datos generales'!G$1,0,'Previsión de Gastos'!E33)</f>
        <v>0</v>
      </c>
      <c r="H84" s="289">
        <f>IF('Datos generales'!$O$10&gt;'Datos generales'!H$1,0,'Previsión de Gastos'!F33)</f>
        <v>0</v>
      </c>
      <c r="I84" s="289">
        <f>IF('Datos generales'!$O$10&gt;'Datos generales'!I$1,0,'Previsión de Gastos'!G33)</f>
        <v>0</v>
      </c>
      <c r="J84" s="289">
        <f>IF('Datos generales'!$O$10&gt;'Datos generales'!J$1,0,'Previsión de Gastos'!H33)</f>
        <v>0</v>
      </c>
      <c r="K84" s="289">
        <f>IF('Datos generales'!$O$10&gt;'Datos generales'!K$1,0,'Previsión de Gastos'!I33)</f>
        <v>0</v>
      </c>
      <c r="L84" s="289">
        <f>IF('Datos generales'!$O$10&gt;'Datos generales'!L$1,0,'Previsión de Gastos'!J33)</f>
        <v>0</v>
      </c>
      <c r="M84" s="289">
        <f>IF('Datos generales'!$O$10&gt;'Datos generales'!M$1,0,'Previsión de Gastos'!K33)</f>
        <v>0</v>
      </c>
      <c r="N84" s="289">
        <f>IF('Datos generales'!$O$10&gt;'Datos generales'!N$1,0,'Previsión de Gastos'!L33)</f>
        <v>0</v>
      </c>
      <c r="O84" s="289">
        <f>IF('Datos generales'!$O$10&gt;'Datos generales'!O$1,0,'Previsión de Gastos'!M33)</f>
        <v>0</v>
      </c>
      <c r="P84" s="289">
        <f>IF('Datos generales'!$O$10&gt;'Datos generales'!P$1,0,'Previsión de Gastos'!N33)</f>
        <v>0</v>
      </c>
      <c r="Q84" s="637"/>
      <c r="R84" s="572">
        <f t="shared" si="0"/>
        <v>0</v>
      </c>
    </row>
    <row r="85" spans="2:21" x14ac:dyDescent="0.2">
      <c r="B85" s="296"/>
      <c r="C85" s="150">
        <f>'Previsión de Gastos'!B34</f>
        <v>0</v>
      </c>
      <c r="D85" s="905"/>
      <c r="E85" s="289">
        <f>IF('Datos generales'!$O$10&gt;'Datos generales'!E$1,0,'Previsión de Gastos'!C34)</f>
        <v>0</v>
      </c>
      <c r="F85" s="289">
        <f>IF('Datos generales'!$O$10&gt;'Datos generales'!F$1,0,'Previsión de Gastos'!D34)</f>
        <v>0</v>
      </c>
      <c r="G85" s="289">
        <f>IF('Datos generales'!$O$10&gt;'Datos generales'!G$1,0,'Previsión de Gastos'!E34)</f>
        <v>0</v>
      </c>
      <c r="H85" s="289">
        <f>IF('Datos generales'!$O$10&gt;'Datos generales'!H$1,0,'Previsión de Gastos'!F34)</f>
        <v>0</v>
      </c>
      <c r="I85" s="289">
        <f>IF('Datos generales'!$O$10&gt;'Datos generales'!I$1,0,'Previsión de Gastos'!G34)</f>
        <v>0</v>
      </c>
      <c r="J85" s="289">
        <f>IF('Datos generales'!$O$10&gt;'Datos generales'!J$1,0,'Previsión de Gastos'!H34)</f>
        <v>0</v>
      </c>
      <c r="K85" s="289">
        <f>IF('Datos generales'!$O$10&gt;'Datos generales'!K$1,0,'Previsión de Gastos'!I34)</f>
        <v>0</v>
      </c>
      <c r="L85" s="289">
        <f>IF('Datos generales'!$O$10&gt;'Datos generales'!L$1,0,'Previsión de Gastos'!J34)</f>
        <v>0</v>
      </c>
      <c r="M85" s="289">
        <f>IF('Datos generales'!$O$10&gt;'Datos generales'!M$1,0,'Previsión de Gastos'!K34)</f>
        <v>0</v>
      </c>
      <c r="N85" s="289">
        <f>IF('Datos generales'!$O$10&gt;'Datos generales'!N$1,0,'Previsión de Gastos'!L34)</f>
        <v>0</v>
      </c>
      <c r="O85" s="289">
        <f>IF('Datos generales'!$O$10&gt;'Datos generales'!O$1,0,'Previsión de Gastos'!M34)</f>
        <v>0</v>
      </c>
      <c r="P85" s="289">
        <f>IF('Datos generales'!$O$10&gt;'Datos generales'!P$1,0,'Previsión de Gastos'!N34)</f>
        <v>0</v>
      </c>
      <c r="Q85" s="637"/>
      <c r="R85" s="572">
        <f t="shared" si="0"/>
        <v>0</v>
      </c>
    </row>
    <row r="86" spans="2:21" s="1" customFormat="1" x14ac:dyDescent="0.2">
      <c r="B86" s="296"/>
      <c r="C86" s="300" t="s">
        <v>129</v>
      </c>
      <c r="D86" s="907"/>
      <c r="E86" s="295">
        <f>SUM(E83:E85)</f>
        <v>0</v>
      </c>
      <c r="F86" s="295">
        <f t="shared" ref="F86:P86" si="5">SUM(F83:F85)</f>
        <v>0</v>
      </c>
      <c r="G86" s="295">
        <f t="shared" si="5"/>
        <v>0</v>
      </c>
      <c r="H86" s="295">
        <f t="shared" si="5"/>
        <v>0</v>
      </c>
      <c r="I86" s="295">
        <f t="shared" si="5"/>
        <v>0</v>
      </c>
      <c r="J86" s="295">
        <f t="shared" si="5"/>
        <v>0</v>
      </c>
      <c r="K86" s="295">
        <f t="shared" si="5"/>
        <v>0</v>
      </c>
      <c r="L86" s="295">
        <f t="shared" si="5"/>
        <v>0</v>
      </c>
      <c r="M86" s="295">
        <f t="shared" si="5"/>
        <v>0</v>
      </c>
      <c r="N86" s="295">
        <f t="shared" si="5"/>
        <v>0</v>
      </c>
      <c r="O86" s="295">
        <f t="shared" si="5"/>
        <v>0</v>
      </c>
      <c r="P86" s="295">
        <f t="shared" si="5"/>
        <v>0</v>
      </c>
      <c r="Q86" s="639">
        <f>SUM(Q83:Q85)</f>
        <v>0</v>
      </c>
      <c r="R86" s="363">
        <f t="shared" si="0"/>
        <v>0</v>
      </c>
      <c r="S86"/>
    </row>
    <row r="87" spans="2:21" x14ac:dyDescent="0.2">
      <c r="B87" s="296"/>
      <c r="C87" s="156" t="s">
        <v>422</v>
      </c>
      <c r="D87" s="289"/>
      <c r="E87" s="289">
        <f>IF('Datos generales'!$O$10&gt;'Datos generales'!E$1,0,IF('Datos generales'!$D$22&lt;=0,'Datos generales'!$D$19*E86,0))</f>
        <v>0</v>
      </c>
      <c r="F87" s="289">
        <f>IF('Datos generales'!$O$10&gt;'Datos generales'!F$1,0,IF('Datos generales'!$D$22&lt;=0,'Datos generales'!$D$19*F86,0))</f>
        <v>0</v>
      </c>
      <c r="G87" s="289">
        <f>IF('Datos generales'!$O$10&gt;'Datos generales'!G$1,0,IF('Datos generales'!$D$22&lt;=0,'Datos generales'!$D$19*G86,0))</f>
        <v>0</v>
      </c>
      <c r="H87" s="289">
        <f>IF('Datos generales'!$O$10&gt;'Datos generales'!H$1,0,IF('Datos generales'!$D$22&lt;=0,'Datos generales'!$D$19*H86,0))</f>
        <v>0</v>
      </c>
      <c r="I87" s="289">
        <f>IF('Datos generales'!$O$10&gt;'Datos generales'!I$1,0,IF('Datos generales'!$D$22&lt;=0,'Datos generales'!$D$19*I86,0))</f>
        <v>0</v>
      </c>
      <c r="J87" s="289">
        <f>IF('Datos generales'!$O$10&gt;'Datos generales'!J$1,0,IF('Datos generales'!$D$22&lt;=0,'Datos generales'!$D$19*J86,0))</f>
        <v>0</v>
      </c>
      <c r="K87" s="289">
        <f>IF('Datos generales'!$O$10&gt;'Datos generales'!K$1,0,IF('Datos generales'!$D$22&lt;=0,'Datos generales'!$D$19*K86,0))</f>
        <v>0</v>
      </c>
      <c r="L87" s="289">
        <f>IF('Datos generales'!$O$10&gt;'Datos generales'!L$1,0,IF('Datos generales'!$D$22&lt;=0,'Datos generales'!$D$19*L86,0))</f>
        <v>0</v>
      </c>
      <c r="M87" s="289">
        <f>IF('Datos generales'!$O$10&gt;'Datos generales'!M$1,0,IF('Datos generales'!$D$22&lt;=0,'Datos generales'!$D$19*M86,0))</f>
        <v>0</v>
      </c>
      <c r="N87" s="289">
        <f>IF('Datos generales'!$O$10&gt;'Datos generales'!N$1,0,IF('Datos generales'!$D$22&lt;=0,'Datos generales'!$D$19*N86,0))</f>
        <v>0</v>
      </c>
      <c r="O87" s="289">
        <f>IF('Datos generales'!$O$10&gt;'Datos generales'!O$1,0,IF('Datos generales'!$D$22&lt;=0,'Datos generales'!$D$19*O86,0))</f>
        <v>0</v>
      </c>
      <c r="P87" s="289">
        <f>IF('Datos generales'!$O$10&gt;'Datos generales'!P$1,0,IF('Datos generales'!$D$22&lt;=0,'Datos generales'!$D$19*P86,0))</f>
        <v>0</v>
      </c>
      <c r="Q87" s="637"/>
      <c r="R87" s="572">
        <f t="shared" si="0"/>
        <v>0</v>
      </c>
    </row>
    <row r="88" spans="2:21" x14ac:dyDescent="0.2">
      <c r="B88" s="210"/>
      <c r="C88" s="476" t="str">
        <f>'Previsión de Gastos'!B35</f>
        <v>Total Gastos comerciales</v>
      </c>
      <c r="D88" s="906">
        <f>SUM(D82:D87)</f>
        <v>0</v>
      </c>
      <c r="E88" s="201">
        <f>SUM(E86:E87)</f>
        <v>0</v>
      </c>
      <c r="F88" s="201">
        <f t="shared" ref="F88:Q88" si="6">SUM(F86:F87)</f>
        <v>0</v>
      </c>
      <c r="G88" s="201">
        <f t="shared" si="6"/>
        <v>0</v>
      </c>
      <c r="H88" s="201">
        <f t="shared" si="6"/>
        <v>0</v>
      </c>
      <c r="I88" s="201">
        <f t="shared" si="6"/>
        <v>0</v>
      </c>
      <c r="J88" s="201">
        <f t="shared" si="6"/>
        <v>0</v>
      </c>
      <c r="K88" s="201">
        <f t="shared" si="6"/>
        <v>0</v>
      </c>
      <c r="L88" s="201">
        <f t="shared" si="6"/>
        <v>0</v>
      </c>
      <c r="M88" s="201">
        <f t="shared" si="6"/>
        <v>0</v>
      </c>
      <c r="N88" s="201">
        <f t="shared" si="6"/>
        <v>0</v>
      </c>
      <c r="O88" s="201">
        <f t="shared" si="6"/>
        <v>0</v>
      </c>
      <c r="P88" s="201">
        <f t="shared" si="6"/>
        <v>0</v>
      </c>
      <c r="Q88" s="348">
        <f t="shared" si="6"/>
        <v>0</v>
      </c>
      <c r="R88" s="864">
        <f t="shared" si="0"/>
        <v>0</v>
      </c>
    </row>
    <row r="89" spans="2:21" x14ac:dyDescent="0.2">
      <c r="B89" s="296"/>
      <c r="C89" s="1" t="str">
        <f>'Previsión de Gastos'!B36</f>
        <v>Otros gastos (Servicios exteriores):</v>
      </c>
      <c r="D89" s="901"/>
      <c r="E89" s="624"/>
      <c r="F89" s="624"/>
      <c r="G89" s="624"/>
      <c r="H89" s="624"/>
      <c r="I89" s="624"/>
      <c r="J89" s="624"/>
      <c r="K89" s="624"/>
      <c r="L89" s="624"/>
      <c r="M89" s="624"/>
      <c r="N89" s="624"/>
      <c r="O89" s="624"/>
      <c r="P89" s="624"/>
      <c r="Q89" s="781"/>
      <c r="R89" s="782"/>
      <c r="S89" s="624"/>
      <c r="T89" s="624"/>
      <c r="U89" s="624"/>
    </row>
    <row r="90" spans="2:21" x14ac:dyDescent="0.2">
      <c r="B90" s="210"/>
      <c r="C90" s="574" t="s">
        <v>423</v>
      </c>
      <c r="D90" s="908">
        <f>'Entrada Inver_Finan'!D75-'Entrada Inver_Finan'!D66</f>
        <v>0</v>
      </c>
      <c r="E90" s="787"/>
      <c r="F90" s="787"/>
      <c r="G90" s="787"/>
      <c r="H90" s="787"/>
      <c r="I90" s="787"/>
      <c r="J90" s="787"/>
      <c r="K90" s="787"/>
      <c r="L90" s="787"/>
      <c r="M90" s="787"/>
      <c r="N90" s="787"/>
      <c r="O90" s="787"/>
      <c r="P90" s="787"/>
      <c r="Q90" s="788"/>
      <c r="R90" s="789">
        <f t="shared" si="0"/>
        <v>0</v>
      </c>
      <c r="S90" s="624"/>
      <c r="T90" s="624"/>
      <c r="U90" s="624"/>
    </row>
    <row r="91" spans="2:21" x14ac:dyDescent="0.2">
      <c r="B91" s="296"/>
      <c r="C91" s="150" t="str">
        <f>'Previsión de Gastos'!B37</f>
        <v>Suministros: luz, agua, teléfono, etc.</v>
      </c>
      <c r="D91" s="903"/>
      <c r="E91" s="786">
        <f>IF('Datos generales'!$O$10&gt;'Datos generales'!E$1,0,'Previsión de Gastos'!C37)</f>
        <v>0</v>
      </c>
      <c r="F91" s="786">
        <f>IF('Datos generales'!$O$10&gt;'Datos generales'!F$1,0,'Previsión de Gastos'!D37)</f>
        <v>0</v>
      </c>
      <c r="G91" s="786">
        <f>IF('Datos generales'!$O$10&gt;'Datos generales'!G$1,0,'Previsión de Gastos'!E37)</f>
        <v>0</v>
      </c>
      <c r="H91" s="786">
        <f>IF('Datos generales'!$O$10&gt;'Datos generales'!H$1,0,'Previsión de Gastos'!F37)</f>
        <v>0</v>
      </c>
      <c r="I91" s="786">
        <f>IF('Datos generales'!$O$10&gt;'Datos generales'!I$1,0,'Previsión de Gastos'!G37)</f>
        <v>0</v>
      </c>
      <c r="J91" s="786">
        <f>IF('Datos generales'!$O$10&gt;'Datos generales'!J$1,0,'Previsión de Gastos'!H37)</f>
        <v>0</v>
      </c>
      <c r="K91" s="786">
        <f>IF('Datos generales'!$O$10&gt;'Datos generales'!K$1,0,'Previsión de Gastos'!I37)</f>
        <v>0</v>
      </c>
      <c r="L91" s="786">
        <f>IF('Datos generales'!$O$10&gt;'Datos generales'!L$1,0,'Previsión de Gastos'!J37)</f>
        <v>0</v>
      </c>
      <c r="M91" s="786">
        <f>IF('Datos generales'!$O$10&gt;'Datos generales'!M$1,0,'Previsión de Gastos'!K37)</f>
        <v>0</v>
      </c>
      <c r="N91" s="786">
        <f>IF('Datos generales'!$O$10&gt;'Datos generales'!N$1,0,'Previsión de Gastos'!L37)</f>
        <v>0</v>
      </c>
      <c r="O91" s="786">
        <f>IF('Datos generales'!$O$10&gt;'Datos generales'!O$1,0,'Previsión de Gastos'!M37)</f>
        <v>0</v>
      </c>
      <c r="P91" s="786">
        <f>IF('Datos generales'!$O$10&gt;'Datos generales'!P$1,0,'Previsión de Gastos'!N37)</f>
        <v>0</v>
      </c>
      <c r="Q91" s="788"/>
      <c r="R91" s="789">
        <f t="shared" si="0"/>
        <v>0</v>
      </c>
      <c r="S91" s="624"/>
      <c r="T91" s="624"/>
      <c r="U91" s="624"/>
    </row>
    <row r="92" spans="2:21" x14ac:dyDescent="0.2">
      <c r="B92" s="296"/>
      <c r="C92" s="150" t="str">
        <f>'Previsión de Gastos'!B38</f>
        <v>Servicios de profesionales indep.</v>
      </c>
      <c r="D92" s="897"/>
      <c r="E92" s="671">
        <f>IF('Datos generales'!$O$10&gt;'Datos generales'!E$1,0,'Previsión de Gastos'!C38)</f>
        <v>0</v>
      </c>
      <c r="F92" s="671">
        <f>IF('Datos generales'!$O$10&gt;'Datos generales'!F$1,0,'Previsión de Gastos'!D38)</f>
        <v>0</v>
      </c>
      <c r="G92" s="671">
        <f>IF('Datos generales'!$O$10&gt;'Datos generales'!G$1,0,'Previsión de Gastos'!E38)</f>
        <v>0</v>
      </c>
      <c r="H92" s="671">
        <f>IF('Datos generales'!$O$10&gt;'Datos generales'!H$1,0,'Previsión de Gastos'!F38)</f>
        <v>0</v>
      </c>
      <c r="I92" s="671">
        <f>IF('Datos generales'!$O$10&gt;'Datos generales'!I$1,0,'Previsión de Gastos'!G38)</f>
        <v>0</v>
      </c>
      <c r="J92" s="671">
        <f>IF('Datos generales'!$O$10&gt;'Datos generales'!J$1,0,'Previsión de Gastos'!H38)</f>
        <v>0</v>
      </c>
      <c r="K92" s="671">
        <f>IF('Datos generales'!$O$10&gt;'Datos generales'!K$1,0,'Previsión de Gastos'!I38)</f>
        <v>0</v>
      </c>
      <c r="L92" s="671">
        <f>IF('Datos generales'!$O$10&gt;'Datos generales'!L$1,0,'Previsión de Gastos'!J38)</f>
        <v>0</v>
      </c>
      <c r="M92" s="671">
        <f>IF('Datos generales'!$O$10&gt;'Datos generales'!M$1,0,'Previsión de Gastos'!K38)</f>
        <v>0</v>
      </c>
      <c r="N92" s="671">
        <f>IF('Datos generales'!$O$10&gt;'Datos generales'!N$1,0,'Previsión de Gastos'!L38)</f>
        <v>0</v>
      </c>
      <c r="O92" s="671">
        <f>IF('Datos generales'!$O$10&gt;'Datos generales'!O$1,0,'Previsión de Gastos'!M38)</f>
        <v>0</v>
      </c>
      <c r="P92" s="671">
        <f>IF('Datos generales'!$O$10&gt;'Datos generales'!P$1,0,'Previsión de Gastos'!N38)</f>
        <v>0</v>
      </c>
      <c r="Q92" s="647"/>
      <c r="R92" s="778">
        <f t="shared" si="0"/>
        <v>0</v>
      </c>
      <c r="S92" s="624"/>
      <c r="T92" s="624"/>
      <c r="U92" s="624"/>
    </row>
    <row r="93" spans="2:21" x14ac:dyDescent="0.2">
      <c r="B93" s="296"/>
      <c r="C93" s="150" t="str">
        <f>'Previsión de Gastos'!B39</f>
        <v>Material de oficina</v>
      </c>
      <c r="D93" s="897"/>
      <c r="E93" s="671">
        <f>IF('Datos generales'!$O$10&gt;'Datos generales'!E$1,0,'Previsión de Gastos'!C39)</f>
        <v>0</v>
      </c>
      <c r="F93" s="671">
        <f>IF('Datos generales'!$O$10&gt;'Datos generales'!F$1,0,'Previsión de Gastos'!D39)</f>
        <v>0</v>
      </c>
      <c r="G93" s="671">
        <f>IF('Datos generales'!$O$10&gt;'Datos generales'!G$1,0,'Previsión de Gastos'!E39)</f>
        <v>0</v>
      </c>
      <c r="H93" s="671">
        <f>IF('Datos generales'!$O$10&gt;'Datos generales'!H$1,0,'Previsión de Gastos'!F39)</f>
        <v>0</v>
      </c>
      <c r="I93" s="671">
        <f>IF('Datos generales'!$O$10&gt;'Datos generales'!I$1,0,'Previsión de Gastos'!G39)</f>
        <v>0</v>
      </c>
      <c r="J93" s="671">
        <f>IF('Datos generales'!$O$10&gt;'Datos generales'!J$1,0,'Previsión de Gastos'!H39)</f>
        <v>0</v>
      </c>
      <c r="K93" s="671">
        <f>IF('Datos generales'!$O$10&gt;'Datos generales'!K$1,0,'Previsión de Gastos'!I39)</f>
        <v>0</v>
      </c>
      <c r="L93" s="671">
        <f>IF('Datos generales'!$O$10&gt;'Datos generales'!L$1,0,'Previsión de Gastos'!J39)</f>
        <v>0</v>
      </c>
      <c r="M93" s="671">
        <f>IF('Datos generales'!$O$10&gt;'Datos generales'!M$1,0,'Previsión de Gastos'!K39)</f>
        <v>0</v>
      </c>
      <c r="N93" s="671">
        <f>IF('Datos generales'!$O$10&gt;'Datos generales'!N$1,0,'Previsión de Gastos'!L39)</f>
        <v>0</v>
      </c>
      <c r="O93" s="671">
        <f>IF('Datos generales'!$O$10&gt;'Datos generales'!O$1,0,'Previsión de Gastos'!M39)</f>
        <v>0</v>
      </c>
      <c r="P93" s="671">
        <f>IF('Datos generales'!$O$10&gt;'Datos generales'!P$1,0,'Previsión de Gastos'!N39)</f>
        <v>0</v>
      </c>
      <c r="Q93" s="647"/>
      <c r="R93" s="778">
        <f t="shared" si="0"/>
        <v>0</v>
      </c>
      <c r="S93" s="624"/>
      <c r="T93" s="624"/>
      <c r="U93" s="624"/>
    </row>
    <row r="94" spans="2:21" x14ac:dyDescent="0.2">
      <c r="B94" s="296"/>
      <c r="C94" s="150" t="str">
        <f>'Previsión de Gastos'!B40</f>
        <v>Primas de Seguros</v>
      </c>
      <c r="D94" s="905"/>
      <c r="E94" s="289">
        <f>IF('Datos generales'!$O$10&gt;'Datos generales'!E$1,0,'Previsión de Gastos'!C40)</f>
        <v>0</v>
      </c>
      <c r="F94" s="289">
        <f>IF('Datos generales'!$O$10&gt;'Datos generales'!F$1,0,'Previsión de Gastos'!D40)</f>
        <v>0</v>
      </c>
      <c r="G94" s="289">
        <f>IF('Datos generales'!$O$10&gt;'Datos generales'!G$1,0,'Previsión de Gastos'!E40)</f>
        <v>0</v>
      </c>
      <c r="H94" s="289">
        <f>IF('Datos generales'!$O$10&gt;'Datos generales'!H$1,0,'Previsión de Gastos'!F40)</f>
        <v>0</v>
      </c>
      <c r="I94" s="289">
        <f>IF('Datos generales'!$O$10&gt;'Datos generales'!I$1,0,'Previsión de Gastos'!G40)</f>
        <v>0</v>
      </c>
      <c r="J94" s="289">
        <f>IF('Datos generales'!$O$10&gt;'Datos generales'!J$1,0,'Previsión de Gastos'!H40)</f>
        <v>0</v>
      </c>
      <c r="K94" s="289">
        <f>IF('Datos generales'!$O$10&gt;'Datos generales'!K$1,0,'Previsión de Gastos'!I40)</f>
        <v>0</v>
      </c>
      <c r="L94" s="289">
        <f>IF('Datos generales'!$O$10&gt;'Datos generales'!L$1,0,'Previsión de Gastos'!J40)</f>
        <v>0</v>
      </c>
      <c r="M94" s="289">
        <f>IF('Datos generales'!$O$10&gt;'Datos generales'!M$1,0,'Previsión de Gastos'!K40)</f>
        <v>0</v>
      </c>
      <c r="N94" s="289">
        <f>IF('Datos generales'!$O$10&gt;'Datos generales'!N$1,0,'Previsión de Gastos'!L40)</f>
        <v>0</v>
      </c>
      <c r="O94" s="289">
        <f>IF('Datos generales'!$O$10&gt;'Datos generales'!O$1,0,'Previsión de Gastos'!M40)</f>
        <v>0</v>
      </c>
      <c r="P94" s="289">
        <f>IF('Datos generales'!$O$10&gt;'Datos generales'!P$1,0,'Previsión de Gastos'!N40)</f>
        <v>0</v>
      </c>
      <c r="Q94" s="637"/>
      <c r="R94" s="572">
        <f t="shared" si="0"/>
        <v>0</v>
      </c>
    </row>
    <row r="95" spans="2:21" x14ac:dyDescent="0.2">
      <c r="B95" s="296"/>
      <c r="C95" s="150" t="str">
        <f>'Previsión de Gastos'!B41</f>
        <v>Trabajos realizados por otras empresas</v>
      </c>
      <c r="D95" s="905"/>
      <c r="E95" s="289">
        <f>IF('Datos generales'!$O$10&gt;'Datos generales'!E$1,0,'Previsión de Gastos'!C41)</f>
        <v>0</v>
      </c>
      <c r="F95" s="289">
        <f>IF('Datos generales'!$O$10&gt;'Datos generales'!F$1,0,'Previsión de Gastos'!D41)</f>
        <v>0</v>
      </c>
      <c r="G95" s="289">
        <f>IF('Datos generales'!$O$10&gt;'Datos generales'!G$1,0,'Previsión de Gastos'!E41)</f>
        <v>0</v>
      </c>
      <c r="H95" s="289">
        <f>IF('Datos generales'!$O$10&gt;'Datos generales'!H$1,0,'Previsión de Gastos'!F41)</f>
        <v>0</v>
      </c>
      <c r="I95" s="289">
        <f>IF('Datos generales'!$O$10&gt;'Datos generales'!I$1,0,'Previsión de Gastos'!G41)</f>
        <v>0</v>
      </c>
      <c r="J95" s="289">
        <f>IF('Datos generales'!$O$10&gt;'Datos generales'!J$1,0,'Previsión de Gastos'!H41)</f>
        <v>0</v>
      </c>
      <c r="K95" s="289">
        <f>IF('Datos generales'!$O$10&gt;'Datos generales'!K$1,0,'Previsión de Gastos'!I41)</f>
        <v>0</v>
      </c>
      <c r="L95" s="289">
        <f>IF('Datos generales'!$O$10&gt;'Datos generales'!L$1,0,'Previsión de Gastos'!J41)</f>
        <v>0</v>
      </c>
      <c r="M95" s="289">
        <f>IF('Datos generales'!$O$10&gt;'Datos generales'!M$1,0,'Previsión de Gastos'!K41)</f>
        <v>0</v>
      </c>
      <c r="N95" s="289">
        <f>IF('Datos generales'!$O$10&gt;'Datos generales'!N$1,0,'Previsión de Gastos'!L41)</f>
        <v>0</v>
      </c>
      <c r="O95" s="289">
        <f>IF('Datos generales'!$O$10&gt;'Datos generales'!O$1,0,'Previsión de Gastos'!M41)</f>
        <v>0</v>
      </c>
      <c r="P95" s="289">
        <f>IF('Datos generales'!$O$10&gt;'Datos generales'!P$1,0,'Previsión de Gastos'!N41)</f>
        <v>0</v>
      </c>
      <c r="Q95" s="637"/>
      <c r="R95" s="572">
        <f t="shared" si="0"/>
        <v>0</v>
      </c>
    </row>
    <row r="96" spans="2:21" x14ac:dyDescent="0.2">
      <c r="B96" s="296"/>
      <c r="C96" s="150" t="str">
        <f>'Previsión de Gastos'!B42</f>
        <v>Arrendamientos</v>
      </c>
      <c r="D96" s="897"/>
      <c r="E96" s="671">
        <f>IF('Datos generales'!$O$10&gt;'Datos generales'!E$1,0,'Previsión de Gastos'!C42)</f>
        <v>0</v>
      </c>
      <c r="F96" s="671">
        <f>IF('Datos generales'!$O$10&gt;'Datos generales'!F$1,0,'Previsión de Gastos'!D42)</f>
        <v>0</v>
      </c>
      <c r="G96" s="671">
        <f>IF('Datos generales'!$O$10&gt;'Datos generales'!G$1,0,'Previsión de Gastos'!E42)</f>
        <v>0</v>
      </c>
      <c r="H96" s="671">
        <f>IF('Datos generales'!$O$10&gt;'Datos generales'!H$1,0,'Previsión de Gastos'!F42)</f>
        <v>0</v>
      </c>
      <c r="I96" s="671">
        <f>IF('Datos generales'!$O$10&gt;'Datos generales'!I$1,0,'Previsión de Gastos'!G42)</f>
        <v>0</v>
      </c>
      <c r="J96" s="671">
        <f>IF('Datos generales'!$O$10&gt;'Datos generales'!J$1,0,'Previsión de Gastos'!H42)</f>
        <v>0</v>
      </c>
      <c r="K96" s="671">
        <f>IF('Datos generales'!$O$10&gt;'Datos generales'!K$1,0,'Previsión de Gastos'!I42)</f>
        <v>0</v>
      </c>
      <c r="L96" s="671">
        <f>IF('Datos generales'!$O$10&gt;'Datos generales'!L$1,0,'Previsión de Gastos'!J42)</f>
        <v>0</v>
      </c>
      <c r="M96" s="671">
        <f>IF('Datos generales'!$O$10&gt;'Datos generales'!M$1,0,'Previsión de Gastos'!K42)</f>
        <v>0</v>
      </c>
      <c r="N96" s="671">
        <f>IF('Datos generales'!$O$10&gt;'Datos generales'!N$1,0,'Previsión de Gastos'!L42)</f>
        <v>0</v>
      </c>
      <c r="O96" s="671">
        <f>IF('Datos generales'!$O$10&gt;'Datos generales'!O$1,0,'Previsión de Gastos'!M42)</f>
        <v>0</v>
      </c>
      <c r="P96" s="671">
        <f>IF('Datos generales'!$O$10&gt;'Datos generales'!P$1,0,'Previsión de Gastos'!N42)</f>
        <v>0</v>
      </c>
      <c r="Q96" s="647"/>
      <c r="R96" s="778">
        <f t="shared" si="0"/>
        <v>0</v>
      </c>
      <c r="S96" s="624"/>
      <c r="T96" s="624"/>
      <c r="U96" s="624"/>
    </row>
    <row r="97" spans="2:21" x14ac:dyDescent="0.2">
      <c r="B97" s="296"/>
      <c r="C97" s="150" t="str">
        <f>'Previsión de Gastos'!B43</f>
        <v>Mantenimiento y reparación</v>
      </c>
      <c r="D97" s="897"/>
      <c r="E97" s="671">
        <f>IF('Datos generales'!$O$10&gt;'Datos generales'!E$1,0,'Previsión de Gastos'!C43)</f>
        <v>0</v>
      </c>
      <c r="F97" s="671">
        <f>IF('Datos generales'!$O$10&gt;'Datos generales'!F$1,0,'Previsión de Gastos'!D43)</f>
        <v>0</v>
      </c>
      <c r="G97" s="671">
        <f>IF('Datos generales'!$O$10&gt;'Datos generales'!G$1,0,'Previsión de Gastos'!E43)</f>
        <v>0</v>
      </c>
      <c r="H97" s="671">
        <f>IF('Datos generales'!$O$10&gt;'Datos generales'!H$1,0,'Previsión de Gastos'!F43)</f>
        <v>0</v>
      </c>
      <c r="I97" s="671">
        <f>IF('Datos generales'!$O$10&gt;'Datos generales'!I$1,0,'Previsión de Gastos'!G43)</f>
        <v>0</v>
      </c>
      <c r="J97" s="671">
        <f>IF('Datos generales'!$O$10&gt;'Datos generales'!J$1,0,'Previsión de Gastos'!H43)</f>
        <v>0</v>
      </c>
      <c r="K97" s="671">
        <f>IF('Datos generales'!$O$10&gt;'Datos generales'!K$1,0,'Previsión de Gastos'!I43)</f>
        <v>0</v>
      </c>
      <c r="L97" s="671">
        <f>IF('Datos generales'!$O$10&gt;'Datos generales'!L$1,0,'Previsión de Gastos'!J43)</f>
        <v>0</v>
      </c>
      <c r="M97" s="671">
        <f>IF('Datos generales'!$O$10&gt;'Datos generales'!M$1,0,'Previsión de Gastos'!K43)</f>
        <v>0</v>
      </c>
      <c r="N97" s="671">
        <f>IF('Datos generales'!$O$10&gt;'Datos generales'!N$1,0,'Previsión de Gastos'!L43)</f>
        <v>0</v>
      </c>
      <c r="O97" s="671">
        <f>IF('Datos generales'!$O$10&gt;'Datos generales'!O$1,0,'Previsión de Gastos'!M43)</f>
        <v>0</v>
      </c>
      <c r="P97" s="671">
        <f>IF('Datos generales'!$O$10&gt;'Datos generales'!P$1,0,'Previsión de Gastos'!N43)</f>
        <v>0</v>
      </c>
      <c r="Q97" s="647"/>
      <c r="R97" s="778">
        <f t="shared" si="0"/>
        <v>0</v>
      </c>
      <c r="S97" s="624"/>
      <c r="T97" s="624"/>
      <c r="U97" s="624"/>
    </row>
    <row r="98" spans="2:21" x14ac:dyDescent="0.2">
      <c r="B98" s="296"/>
      <c r="C98" s="150" t="str">
        <f>'Previsión de Gastos'!B44</f>
        <v>Limpieza</v>
      </c>
      <c r="D98" s="905"/>
      <c r="E98" s="289">
        <f>IF('Datos generales'!$O$10&gt;'Datos generales'!E$1,0,'Previsión de Gastos'!C44)</f>
        <v>0</v>
      </c>
      <c r="F98" s="289">
        <f>IF('Datos generales'!$O$10&gt;'Datos generales'!F$1,0,'Previsión de Gastos'!D44)</f>
        <v>0</v>
      </c>
      <c r="G98" s="289">
        <f>IF('Datos generales'!$O$10&gt;'Datos generales'!G$1,0,'Previsión de Gastos'!E44)</f>
        <v>0</v>
      </c>
      <c r="H98" s="289">
        <f>IF('Datos generales'!$O$10&gt;'Datos generales'!H$1,0,'Previsión de Gastos'!F44)</f>
        <v>0</v>
      </c>
      <c r="I98" s="289">
        <f>IF('Datos generales'!$O$10&gt;'Datos generales'!I$1,0,'Previsión de Gastos'!G44)</f>
        <v>0</v>
      </c>
      <c r="J98" s="289">
        <f>IF('Datos generales'!$O$10&gt;'Datos generales'!J$1,0,'Previsión de Gastos'!H44)</f>
        <v>0</v>
      </c>
      <c r="K98" s="289">
        <f>IF('Datos generales'!$O$10&gt;'Datos generales'!K$1,0,'Previsión de Gastos'!I44)</f>
        <v>0</v>
      </c>
      <c r="L98" s="289">
        <f>IF('Datos generales'!$O$10&gt;'Datos generales'!L$1,0,'Previsión de Gastos'!J44)</f>
        <v>0</v>
      </c>
      <c r="M98" s="289">
        <f>IF('Datos generales'!$O$10&gt;'Datos generales'!M$1,0,'Previsión de Gastos'!K44)</f>
        <v>0</v>
      </c>
      <c r="N98" s="289">
        <f>IF('Datos generales'!$O$10&gt;'Datos generales'!N$1,0,'Previsión de Gastos'!L44)</f>
        <v>0</v>
      </c>
      <c r="O98" s="289">
        <f>IF('Datos generales'!$O$10&gt;'Datos generales'!O$1,0,'Previsión de Gastos'!M44)</f>
        <v>0</v>
      </c>
      <c r="P98" s="289">
        <f>IF('Datos generales'!$O$10&gt;'Datos generales'!P$1,0,'Previsión de Gastos'!N44)</f>
        <v>0</v>
      </c>
      <c r="Q98" s="637"/>
      <c r="R98" s="572">
        <f t="shared" si="0"/>
        <v>0</v>
      </c>
    </row>
    <row r="99" spans="2:21" x14ac:dyDescent="0.2">
      <c r="B99" s="296"/>
      <c r="C99" s="150" t="str">
        <f>'Previsión de Gastos'!B45</f>
        <v>Hosting</v>
      </c>
      <c r="D99" s="905"/>
      <c r="E99" s="289">
        <f>IF('Datos generales'!$O$10&gt;'Datos generales'!E$1,0,'Previsión de Gastos'!C45)</f>
        <v>0</v>
      </c>
      <c r="F99" s="289">
        <f>IF('Datos generales'!$O$10&gt;'Datos generales'!F$1,0,'Previsión de Gastos'!D45)</f>
        <v>0</v>
      </c>
      <c r="G99" s="289">
        <f>IF('Datos generales'!$O$10&gt;'Datos generales'!G$1,0,'Previsión de Gastos'!E45)</f>
        <v>0</v>
      </c>
      <c r="H99" s="289">
        <f>IF('Datos generales'!$O$10&gt;'Datos generales'!H$1,0,'Previsión de Gastos'!F45)</f>
        <v>0</v>
      </c>
      <c r="I99" s="289">
        <f>IF('Datos generales'!$O$10&gt;'Datos generales'!I$1,0,'Previsión de Gastos'!G45)</f>
        <v>0</v>
      </c>
      <c r="J99" s="289">
        <f>IF('Datos generales'!$O$10&gt;'Datos generales'!J$1,0,'Previsión de Gastos'!H45)</f>
        <v>0</v>
      </c>
      <c r="K99" s="289">
        <f>IF('Datos generales'!$O$10&gt;'Datos generales'!K$1,0,'Previsión de Gastos'!I45)</f>
        <v>0</v>
      </c>
      <c r="L99" s="289">
        <f>IF('Datos generales'!$O$10&gt;'Datos generales'!L$1,0,'Previsión de Gastos'!J45)</f>
        <v>0</v>
      </c>
      <c r="M99" s="289">
        <f>IF('Datos generales'!$O$10&gt;'Datos generales'!M$1,0,'Previsión de Gastos'!K45)</f>
        <v>0</v>
      </c>
      <c r="N99" s="289">
        <f>IF('Datos generales'!$O$10&gt;'Datos generales'!N$1,0,'Previsión de Gastos'!L45)</f>
        <v>0</v>
      </c>
      <c r="O99" s="289">
        <f>IF('Datos generales'!$O$10&gt;'Datos generales'!O$1,0,'Previsión de Gastos'!M45)</f>
        <v>0</v>
      </c>
      <c r="P99" s="289">
        <f>IF('Datos generales'!$O$10&gt;'Datos generales'!P$1,0,'Previsión de Gastos'!N45)</f>
        <v>0</v>
      </c>
      <c r="Q99" s="637"/>
      <c r="R99" s="572">
        <f t="shared" si="0"/>
        <v>0</v>
      </c>
    </row>
    <row r="100" spans="2:21" x14ac:dyDescent="0.2">
      <c r="B100" s="296"/>
      <c r="C100" s="150" t="str">
        <f>'Previsión de Gastos'!B46</f>
        <v>Varios</v>
      </c>
      <c r="D100" s="905"/>
      <c r="E100" s="289">
        <f>IF('Datos generales'!$O$10&gt;'Datos generales'!E$1,0,'Previsión de Gastos'!C46)</f>
        <v>0</v>
      </c>
      <c r="F100" s="289">
        <f>IF('Datos generales'!$O$10&gt;'Datos generales'!F$1,0,'Previsión de Gastos'!D46)</f>
        <v>0</v>
      </c>
      <c r="G100" s="289">
        <f>IF('Datos generales'!$O$10&gt;'Datos generales'!G$1,0,'Previsión de Gastos'!E46)</f>
        <v>0</v>
      </c>
      <c r="H100" s="289">
        <f>IF('Datos generales'!$O$10&gt;'Datos generales'!H$1,0,'Previsión de Gastos'!F46)</f>
        <v>0</v>
      </c>
      <c r="I100" s="289">
        <f>IF('Datos generales'!$O$10&gt;'Datos generales'!I$1,0,'Previsión de Gastos'!G46)</f>
        <v>0</v>
      </c>
      <c r="J100" s="289">
        <f>IF('Datos generales'!$O$10&gt;'Datos generales'!J$1,0,'Previsión de Gastos'!H46)</f>
        <v>0</v>
      </c>
      <c r="K100" s="289">
        <f>IF('Datos generales'!$O$10&gt;'Datos generales'!K$1,0,'Previsión de Gastos'!I46)</f>
        <v>0</v>
      </c>
      <c r="L100" s="289">
        <f>IF('Datos generales'!$O$10&gt;'Datos generales'!L$1,0,'Previsión de Gastos'!J46)</f>
        <v>0</v>
      </c>
      <c r="M100" s="289">
        <f>IF('Datos generales'!$O$10&gt;'Datos generales'!M$1,0,'Previsión de Gastos'!K46)</f>
        <v>0</v>
      </c>
      <c r="N100" s="289">
        <f>IF('Datos generales'!$O$10&gt;'Datos generales'!N$1,0,'Previsión de Gastos'!L46)</f>
        <v>0</v>
      </c>
      <c r="O100" s="289">
        <f>IF('Datos generales'!$O$10&gt;'Datos generales'!O$1,0,'Previsión de Gastos'!M46)</f>
        <v>0</v>
      </c>
      <c r="P100" s="289">
        <f>IF('Datos generales'!$O$10&gt;'Datos generales'!P$1,0,'Previsión de Gastos'!N46)</f>
        <v>0</v>
      </c>
      <c r="Q100" s="637"/>
      <c r="R100" s="572">
        <f t="shared" si="0"/>
        <v>0</v>
      </c>
    </row>
    <row r="101" spans="2:21" s="1" customFormat="1" x14ac:dyDescent="0.2">
      <c r="B101" s="296"/>
      <c r="C101" s="300" t="s">
        <v>129</v>
      </c>
      <c r="D101" s="295">
        <f>SUM(D90:D100)</f>
        <v>0</v>
      </c>
      <c r="E101" s="295">
        <f>SUM(E91:E100)</f>
        <v>0</v>
      </c>
      <c r="F101" s="295">
        <f t="shared" ref="F101:Q101" si="7">SUM(F91:F100)</f>
        <v>0</v>
      </c>
      <c r="G101" s="295">
        <f t="shared" si="7"/>
        <v>0</v>
      </c>
      <c r="H101" s="295">
        <f t="shared" si="7"/>
        <v>0</v>
      </c>
      <c r="I101" s="295">
        <f t="shared" si="7"/>
        <v>0</v>
      </c>
      <c r="J101" s="295">
        <f t="shared" si="7"/>
        <v>0</v>
      </c>
      <c r="K101" s="295">
        <f t="shared" si="7"/>
        <v>0</v>
      </c>
      <c r="L101" s="295">
        <f t="shared" si="7"/>
        <v>0</v>
      </c>
      <c r="M101" s="295">
        <f t="shared" si="7"/>
        <v>0</v>
      </c>
      <c r="N101" s="295">
        <f t="shared" si="7"/>
        <v>0</v>
      </c>
      <c r="O101" s="295">
        <f t="shared" si="7"/>
        <v>0</v>
      </c>
      <c r="P101" s="295">
        <f t="shared" si="7"/>
        <v>0</v>
      </c>
      <c r="Q101" s="639">
        <f t="shared" si="7"/>
        <v>0</v>
      </c>
      <c r="R101" s="363">
        <f t="shared" si="0"/>
        <v>0</v>
      </c>
      <c r="S101"/>
    </row>
    <row r="102" spans="2:21" x14ac:dyDescent="0.2">
      <c r="B102" s="296"/>
      <c r="C102" s="156" t="s">
        <v>422</v>
      </c>
      <c r="D102" s="289">
        <f>IF('Datos generales'!$D$22&lt;=0,'Datos generales'!D19*D101+'Datos generales'!D19*'Entrada Inver_Finan'!D66,0)</f>
        <v>0</v>
      </c>
      <c r="E102" s="289">
        <f>IF('Datos generales'!$O$10&gt;'Datos generales'!E$1,0,IF('Datos generales'!$D$22&lt;=0,'Datos generales'!$D$19*E101,0))</f>
        <v>0</v>
      </c>
      <c r="F102" s="289">
        <f>IF('Datos generales'!$O$10&gt;'Datos generales'!F$1,0,IF('Datos generales'!$D$22&lt;=0,'Datos generales'!$D$19*F101,0))</f>
        <v>0</v>
      </c>
      <c r="G102" s="289">
        <f>IF('Datos generales'!$O$10&gt;'Datos generales'!G$1,0,IF('Datos generales'!$D$22&lt;=0,'Datos generales'!$D$19*G101,0))</f>
        <v>0</v>
      </c>
      <c r="H102" s="289">
        <f>IF('Datos generales'!$O$10&gt;'Datos generales'!H$1,0,IF('Datos generales'!$D$22&lt;=0,'Datos generales'!$D$19*H101,0))</f>
        <v>0</v>
      </c>
      <c r="I102" s="289">
        <f>IF('Datos generales'!$O$10&gt;'Datos generales'!I$1,0,IF('Datos generales'!$D$22&lt;=0,'Datos generales'!$D$19*I101,0))</f>
        <v>0</v>
      </c>
      <c r="J102" s="289">
        <f>IF('Datos generales'!$O$10&gt;'Datos generales'!J$1,0,IF('Datos generales'!$D$22&lt;=0,'Datos generales'!$D$19*J101,0))</f>
        <v>0</v>
      </c>
      <c r="K102" s="289">
        <f>IF('Datos generales'!$O$10&gt;'Datos generales'!K$1,0,IF('Datos generales'!$D$22&lt;=0,'Datos generales'!$D$19*K101,0))</f>
        <v>0</v>
      </c>
      <c r="L102" s="289">
        <f>IF('Datos generales'!$O$10&gt;'Datos generales'!L$1,0,IF('Datos generales'!$D$22&lt;=0,'Datos generales'!$D$19*L101,0))</f>
        <v>0</v>
      </c>
      <c r="M102" s="289">
        <f>IF('Datos generales'!$O$10&gt;'Datos generales'!M$1,0,IF('Datos generales'!$D$22&lt;=0,'Datos generales'!$D$19*M101,0))</f>
        <v>0</v>
      </c>
      <c r="N102" s="289">
        <f>IF('Datos generales'!$O$10&gt;'Datos generales'!N$1,0,IF('Datos generales'!$D$22&lt;=0,'Datos generales'!$D$19*N101,0))</f>
        <v>0</v>
      </c>
      <c r="O102" s="289">
        <f>IF('Datos generales'!$O$10&gt;'Datos generales'!O$1,0,IF('Datos generales'!$D$22&lt;=0,'Datos generales'!$D$19*O101,0))</f>
        <v>0</v>
      </c>
      <c r="P102" s="289">
        <f>IF('Datos generales'!$O$10&gt;'Datos generales'!P$1,0,IF('Datos generales'!$D$22&lt;=0,'Datos generales'!$D$19*P101,0))</f>
        <v>0</v>
      </c>
      <c r="Q102" s="637"/>
      <c r="R102" s="572">
        <f t="shared" si="0"/>
        <v>0</v>
      </c>
    </row>
    <row r="103" spans="2:21" x14ac:dyDescent="0.2">
      <c r="B103" s="296"/>
      <c r="C103" s="476" t="str">
        <f>'Previsión de Gastos'!B47</f>
        <v>Total Otros gastos (Servicios exteriores)</v>
      </c>
      <c r="D103" s="909">
        <f>SUM(D101:D102)</f>
        <v>0</v>
      </c>
      <c r="E103" s="865">
        <f>SUM(E101:E102)</f>
        <v>0</v>
      </c>
      <c r="F103" s="865">
        <f t="shared" ref="F103:Q103" si="8">SUM(F101:F102)</f>
        <v>0</v>
      </c>
      <c r="G103" s="865">
        <f t="shared" si="8"/>
        <v>0</v>
      </c>
      <c r="H103" s="865">
        <f t="shared" si="8"/>
        <v>0</v>
      </c>
      <c r="I103" s="865">
        <f t="shared" si="8"/>
        <v>0</v>
      </c>
      <c r="J103" s="865">
        <f t="shared" si="8"/>
        <v>0</v>
      </c>
      <c r="K103" s="865">
        <f t="shared" si="8"/>
        <v>0</v>
      </c>
      <c r="L103" s="865">
        <f t="shared" si="8"/>
        <v>0</v>
      </c>
      <c r="M103" s="865">
        <f t="shared" si="8"/>
        <v>0</v>
      </c>
      <c r="N103" s="865">
        <f t="shared" si="8"/>
        <v>0</v>
      </c>
      <c r="O103" s="865">
        <f t="shared" si="8"/>
        <v>0</v>
      </c>
      <c r="P103" s="865">
        <f t="shared" si="8"/>
        <v>0</v>
      </c>
      <c r="Q103" s="646">
        <f t="shared" si="8"/>
        <v>0</v>
      </c>
      <c r="R103" s="866">
        <f t="shared" si="0"/>
        <v>0</v>
      </c>
      <c r="S103" s="624"/>
      <c r="T103" s="624"/>
      <c r="U103" s="624"/>
    </row>
    <row r="104" spans="2:21" ht="18" customHeight="1" x14ac:dyDescent="0.2">
      <c r="B104" s="296"/>
      <c r="D104" s="901"/>
      <c r="E104" s="624"/>
      <c r="F104" s="624"/>
      <c r="G104" s="624"/>
      <c r="H104" s="624"/>
      <c r="I104" s="624"/>
      <c r="J104" s="624"/>
      <c r="K104" s="624"/>
      <c r="L104" s="624"/>
      <c r="M104" s="624"/>
      <c r="N104" s="624"/>
      <c r="O104" s="624"/>
      <c r="P104" s="624"/>
      <c r="Q104" s="781"/>
      <c r="R104" s="782"/>
      <c r="S104" s="624"/>
      <c r="T104" s="624"/>
      <c r="U104" s="624"/>
    </row>
    <row r="105" spans="2:21" s="298" customFormat="1" ht="15" x14ac:dyDescent="0.25">
      <c r="B105" s="867" t="s">
        <v>424</v>
      </c>
      <c r="C105" s="868"/>
      <c r="D105" s="910">
        <f>D81+D88+D103</f>
        <v>0</v>
      </c>
      <c r="E105" s="869">
        <f t="shared" ref="E105:P105" ca="1" si="9">E81+E88+E103</f>
        <v>0</v>
      </c>
      <c r="F105" s="869">
        <f t="shared" ca="1" si="9"/>
        <v>0</v>
      </c>
      <c r="G105" s="869">
        <f t="shared" ca="1" si="9"/>
        <v>0</v>
      </c>
      <c r="H105" s="869">
        <f t="shared" ca="1" si="9"/>
        <v>0</v>
      </c>
      <c r="I105" s="869">
        <f t="shared" ca="1" si="9"/>
        <v>0</v>
      </c>
      <c r="J105" s="869">
        <f t="shared" ca="1" si="9"/>
        <v>0</v>
      </c>
      <c r="K105" s="869">
        <f t="shared" ca="1" si="9"/>
        <v>0</v>
      </c>
      <c r="L105" s="869">
        <f t="shared" ca="1" si="9"/>
        <v>0</v>
      </c>
      <c r="M105" s="869">
        <f t="shared" ca="1" si="9"/>
        <v>0</v>
      </c>
      <c r="N105" s="869">
        <f t="shared" ca="1" si="9"/>
        <v>0</v>
      </c>
      <c r="O105" s="869">
        <f t="shared" ca="1" si="9"/>
        <v>0</v>
      </c>
      <c r="P105" s="869">
        <f t="shared" ca="1" si="9"/>
        <v>0</v>
      </c>
      <c r="Q105" s="870">
        <f>Q81+Q88</f>
        <v>0</v>
      </c>
      <c r="R105" s="871">
        <f t="shared" ca="1" si="0"/>
        <v>0</v>
      </c>
      <c r="S105" s="790"/>
      <c r="T105" s="790"/>
      <c r="U105" s="790"/>
    </row>
    <row r="106" spans="2:21" ht="10.5" customHeight="1" x14ac:dyDescent="0.2">
      <c r="B106" s="296"/>
      <c r="D106" s="893"/>
      <c r="E106" s="626"/>
      <c r="F106" s="626"/>
      <c r="G106" s="626"/>
      <c r="H106" s="626"/>
      <c r="I106" s="626"/>
      <c r="J106" s="626"/>
      <c r="K106" s="626"/>
      <c r="L106" s="626"/>
      <c r="M106" s="626"/>
      <c r="N106" s="626"/>
      <c r="O106" s="626"/>
      <c r="P106" s="626"/>
      <c r="Q106" s="781"/>
      <c r="R106" s="782"/>
      <c r="S106" s="624"/>
      <c r="T106" s="624"/>
      <c r="U106" s="624"/>
    </row>
    <row r="107" spans="2:21" s="75" customFormat="1" ht="15.75" x14ac:dyDescent="0.25">
      <c r="B107" s="1020" t="s">
        <v>425</v>
      </c>
      <c r="C107" s="478"/>
      <c r="D107" s="1021">
        <f t="shared" ref="D107:Q107" si="10">+D63-D72-D105</f>
        <v>0</v>
      </c>
      <c r="E107" s="1022">
        <f t="shared" ca="1" si="10"/>
        <v>0</v>
      </c>
      <c r="F107" s="1022">
        <f t="shared" ca="1" si="10"/>
        <v>0</v>
      </c>
      <c r="G107" s="1022">
        <f t="shared" ca="1" si="10"/>
        <v>0</v>
      </c>
      <c r="H107" s="1022">
        <f t="shared" ca="1" si="10"/>
        <v>0</v>
      </c>
      <c r="I107" s="1022">
        <f t="shared" ca="1" si="10"/>
        <v>0</v>
      </c>
      <c r="J107" s="1022">
        <f t="shared" ca="1" si="10"/>
        <v>0</v>
      </c>
      <c r="K107" s="1022">
        <f t="shared" ca="1" si="10"/>
        <v>0</v>
      </c>
      <c r="L107" s="1022">
        <f t="shared" ca="1" si="10"/>
        <v>0</v>
      </c>
      <c r="M107" s="1022">
        <f t="shared" ca="1" si="10"/>
        <v>0</v>
      </c>
      <c r="N107" s="1022">
        <f t="shared" ca="1" si="10"/>
        <v>0</v>
      </c>
      <c r="O107" s="1022">
        <f t="shared" ca="1" si="10"/>
        <v>0</v>
      </c>
      <c r="P107" s="1022">
        <f t="shared" ca="1" si="10"/>
        <v>0</v>
      </c>
      <c r="Q107" s="1024">
        <f t="shared" si="10"/>
        <v>0</v>
      </c>
      <c r="R107" s="1025">
        <f t="shared" ca="1" si="0"/>
        <v>0</v>
      </c>
      <c r="S107" s="790"/>
      <c r="T107" s="759"/>
      <c r="U107" s="759"/>
    </row>
    <row r="108" spans="2:21" x14ac:dyDescent="0.2">
      <c r="B108" s="633" t="s">
        <v>426</v>
      </c>
      <c r="C108" s="464"/>
      <c r="D108" s="903">
        <f>IF('Datos generales'!$O$10&gt;'Datos generales'!D$1,0,'AMORTIZACION CONTABLE'!$G$38)</f>
        <v>0</v>
      </c>
      <c r="E108" s="786">
        <f>IF('Datos generales'!$O$10&gt;'Datos generales'!E$1,0,'AMORTIZACION CONTABLE'!$G$38)</f>
        <v>0</v>
      </c>
      <c r="F108" s="786">
        <f>IF('Datos generales'!$O$10&gt;'Datos generales'!F$1,0,'AMORTIZACION CONTABLE'!$G$38)</f>
        <v>0</v>
      </c>
      <c r="G108" s="786">
        <f>IF('Datos generales'!$O$10&gt;'Datos generales'!G$1,0,'AMORTIZACION CONTABLE'!$G$38)</f>
        <v>0</v>
      </c>
      <c r="H108" s="786">
        <f>IF('Datos generales'!$O$10&gt;'Datos generales'!H$1,0,'AMORTIZACION CONTABLE'!$G$38)</f>
        <v>0</v>
      </c>
      <c r="I108" s="786">
        <f>IF('Datos generales'!$O$10&gt;'Datos generales'!I$1,0,'AMORTIZACION CONTABLE'!$G$38)</f>
        <v>0</v>
      </c>
      <c r="J108" s="786">
        <f>IF('Datos generales'!$O$10&gt;'Datos generales'!J$1,0,'AMORTIZACION CONTABLE'!$G$38)</f>
        <v>0</v>
      </c>
      <c r="K108" s="786">
        <f>IF('Datos generales'!$O$10&gt;'Datos generales'!K$1,0,'AMORTIZACION CONTABLE'!$G$38)</f>
        <v>0</v>
      </c>
      <c r="L108" s="786">
        <f>IF('Datos generales'!$O$10&gt;'Datos generales'!L$1,0,'AMORTIZACION CONTABLE'!$G$38)</f>
        <v>0</v>
      </c>
      <c r="M108" s="786">
        <f>IF('Datos generales'!$O$10&gt;'Datos generales'!M$1,0,'AMORTIZACION CONTABLE'!$G$38)</f>
        <v>0</v>
      </c>
      <c r="N108" s="786">
        <f>IF('Datos generales'!$O$10&gt;'Datos generales'!N$1,0,'AMORTIZACION CONTABLE'!$G$38)</f>
        <v>0</v>
      </c>
      <c r="O108" s="786">
        <f>IF('Datos generales'!$O$10&gt;'Datos generales'!O$1,0,'AMORTIZACION CONTABLE'!$G$38)</f>
        <v>0</v>
      </c>
      <c r="P108" s="786">
        <f>IF('Datos generales'!$O$10&gt;'Datos generales'!P$1,0,'AMORTIZACION CONTABLE'!$G$38)</f>
        <v>0</v>
      </c>
      <c r="Q108" s="788"/>
      <c r="R108" s="789">
        <f t="shared" si="0"/>
        <v>0</v>
      </c>
      <c r="S108" s="624"/>
      <c r="T108" s="624"/>
      <c r="U108" s="624"/>
    </row>
    <row r="109" spans="2:21" x14ac:dyDescent="0.2">
      <c r="B109" s="210"/>
      <c r="C109" s="1"/>
      <c r="D109" s="896"/>
      <c r="E109" s="625"/>
      <c r="F109" s="625"/>
      <c r="G109" s="625"/>
      <c r="H109" s="625"/>
      <c r="I109" s="625"/>
      <c r="J109" s="625"/>
      <c r="K109" s="625"/>
      <c r="L109" s="625"/>
      <c r="M109" s="625"/>
      <c r="N109" s="625"/>
      <c r="O109" s="625"/>
      <c r="P109" s="625"/>
      <c r="Q109" s="781"/>
      <c r="R109" s="782"/>
      <c r="S109" s="624"/>
      <c r="T109" s="624"/>
      <c r="U109" s="624"/>
    </row>
    <row r="110" spans="2:21" ht="27.75" customHeight="1" x14ac:dyDescent="0.2">
      <c r="B110" s="1372" t="s">
        <v>427</v>
      </c>
      <c r="C110" s="1373"/>
      <c r="D110" s="902"/>
      <c r="E110" s="299"/>
      <c r="F110" s="299"/>
      <c r="G110" s="299"/>
      <c r="H110" s="299"/>
      <c r="I110" s="299"/>
      <c r="J110" s="299"/>
      <c r="K110" s="299"/>
      <c r="L110" s="299"/>
      <c r="M110" s="299"/>
      <c r="N110" s="299"/>
      <c r="O110" s="299"/>
      <c r="P110" s="299"/>
      <c r="Q110" s="640">
        <f>'Entrada Inver_Finan'!D102+'Entrada Inver_Finan'!D103+'Entrada Inver_Finan'!E102+'Entrada Inver_Finan'!E103</f>
        <v>0</v>
      </c>
      <c r="R110" s="573">
        <f>SUM(D110:Q110)</f>
        <v>0</v>
      </c>
    </row>
    <row r="111" spans="2:21" ht="8.25" customHeight="1" x14ac:dyDescent="0.2">
      <c r="B111" s="210"/>
      <c r="C111" s="1"/>
      <c r="D111" s="896"/>
      <c r="E111" s="625"/>
      <c r="F111" s="625"/>
      <c r="G111" s="625"/>
      <c r="H111" s="625"/>
      <c r="I111" s="625"/>
      <c r="J111" s="625"/>
      <c r="K111" s="625"/>
      <c r="L111" s="625"/>
      <c r="M111" s="625"/>
      <c r="N111" s="625"/>
      <c r="O111" s="625"/>
      <c r="P111" s="625"/>
      <c r="Q111" s="781"/>
      <c r="R111" s="782"/>
      <c r="S111" s="624"/>
      <c r="T111" s="624"/>
      <c r="U111" s="624"/>
    </row>
    <row r="112" spans="2:21" s="75" customFormat="1" ht="15.75" x14ac:dyDescent="0.25">
      <c r="B112" s="1020" t="s">
        <v>394</v>
      </c>
      <c r="C112" s="478"/>
      <c r="D112" s="1021">
        <f t="shared" ref="D112:Q112" si="11">+D63-D72-D105-D108+D110</f>
        <v>0</v>
      </c>
      <c r="E112" s="1022">
        <f t="shared" ca="1" si="11"/>
        <v>0</v>
      </c>
      <c r="F112" s="1022">
        <f t="shared" ca="1" si="11"/>
        <v>0</v>
      </c>
      <c r="G112" s="1022">
        <f t="shared" ca="1" si="11"/>
        <v>0</v>
      </c>
      <c r="H112" s="1022">
        <f t="shared" ca="1" si="11"/>
        <v>0</v>
      </c>
      <c r="I112" s="1022">
        <f t="shared" ca="1" si="11"/>
        <v>0</v>
      </c>
      <c r="J112" s="1022">
        <f t="shared" ca="1" si="11"/>
        <v>0</v>
      </c>
      <c r="K112" s="1022">
        <f t="shared" ca="1" si="11"/>
        <v>0</v>
      </c>
      <c r="L112" s="1022">
        <f t="shared" ca="1" si="11"/>
        <v>0</v>
      </c>
      <c r="M112" s="1022">
        <f t="shared" ca="1" si="11"/>
        <v>0</v>
      </c>
      <c r="N112" s="1022">
        <f t="shared" ca="1" si="11"/>
        <v>0</v>
      </c>
      <c r="O112" s="1022">
        <f t="shared" ca="1" si="11"/>
        <v>0</v>
      </c>
      <c r="P112" s="1022">
        <f t="shared" ca="1" si="11"/>
        <v>0</v>
      </c>
      <c r="Q112" s="1024">
        <f t="shared" si="11"/>
        <v>0</v>
      </c>
      <c r="R112" s="1025">
        <f t="shared" ca="1" si="0"/>
        <v>0</v>
      </c>
      <c r="S112" s="790"/>
      <c r="T112" s="759"/>
      <c r="U112" s="759"/>
    </row>
    <row r="113" spans="2:21" x14ac:dyDescent="0.2">
      <c r="B113" s="210" t="str">
        <f>'Previsión de Gastos'!B52</f>
        <v>Ingresos financieros</v>
      </c>
      <c r="C113" s="1"/>
      <c r="D113" s="911"/>
      <c r="E113" s="1"/>
      <c r="F113" s="1"/>
      <c r="G113" s="1"/>
      <c r="H113" s="1"/>
      <c r="I113" s="1"/>
      <c r="J113" s="1"/>
      <c r="K113" s="1"/>
      <c r="L113" s="1"/>
      <c r="M113" s="1"/>
      <c r="N113" s="1"/>
      <c r="O113" s="1"/>
      <c r="P113" s="1"/>
      <c r="Q113" s="161"/>
      <c r="R113" s="557">
        <f t="shared" si="0"/>
        <v>0</v>
      </c>
    </row>
    <row r="114" spans="2:21" x14ac:dyDescent="0.2">
      <c r="B114" s="296"/>
      <c r="C114" s="150">
        <f>'Previsión de Gastos'!B53</f>
        <v>0</v>
      </c>
      <c r="D114" s="902">
        <f>IF('Datos generales'!$O$10&gt;'Datos generales'!D$1,0,'Previsión de Gastos'!B53)</f>
        <v>0</v>
      </c>
      <c r="E114" s="299">
        <f>IF('Datos generales'!$O$10&gt;'Datos generales'!E$1,0,'Previsión de Gastos'!C53)</f>
        <v>0</v>
      </c>
      <c r="F114" s="299">
        <f>IF('Datos generales'!$O$10&gt;'Datos generales'!F$1,0,'Previsión de Gastos'!D53)</f>
        <v>0</v>
      </c>
      <c r="G114" s="299">
        <f>IF('Datos generales'!$O$10&gt;'Datos generales'!G$1,0,'Previsión de Gastos'!E53)</f>
        <v>0</v>
      </c>
      <c r="H114" s="299">
        <f>IF('Datos generales'!$O$10&gt;'Datos generales'!H$1,0,'Previsión de Gastos'!F53)</f>
        <v>0</v>
      </c>
      <c r="I114" s="299">
        <f>IF('Datos generales'!$O$10&gt;'Datos generales'!I$1,0,'Previsión de Gastos'!G53)</f>
        <v>0</v>
      </c>
      <c r="J114" s="299">
        <f>IF('Datos generales'!$O$10&gt;'Datos generales'!J$1,0,'Previsión de Gastos'!H53)</f>
        <v>0</v>
      </c>
      <c r="K114" s="299">
        <f>IF('Datos generales'!$O$10&gt;'Datos generales'!K$1,0,'Previsión de Gastos'!I53)</f>
        <v>0</v>
      </c>
      <c r="L114" s="299">
        <f>IF('Datos generales'!$O$10&gt;'Datos generales'!L$1,0,'Previsión de Gastos'!J53)</f>
        <v>0</v>
      </c>
      <c r="M114" s="299">
        <f>IF('Datos generales'!$O$10&gt;'Datos generales'!M$1,0,'Previsión de Gastos'!K53)</f>
        <v>0</v>
      </c>
      <c r="N114" s="299">
        <f>IF('Datos generales'!$O$10&gt;'Datos generales'!N$1,0,'Previsión de Gastos'!L53)</f>
        <v>0</v>
      </c>
      <c r="O114" s="299">
        <f>IF('Datos generales'!$O$10&gt;'Datos generales'!O$1,0,'Previsión de Gastos'!M53)</f>
        <v>0</v>
      </c>
      <c r="P114" s="299">
        <f>IF('Datos generales'!$O$10&gt;'Datos generales'!P$1,0,'Previsión de Gastos'!N53)</f>
        <v>0</v>
      </c>
      <c r="Q114" s="638"/>
      <c r="R114" s="573">
        <f t="shared" si="0"/>
        <v>0</v>
      </c>
    </row>
    <row r="115" spans="2:21" x14ac:dyDescent="0.2">
      <c r="B115" s="296"/>
      <c r="C115" s="156">
        <f>'Previsión de Gastos'!B54</f>
        <v>0</v>
      </c>
      <c r="D115" s="905">
        <f>IF('Datos generales'!$O$10&gt;'Datos generales'!D$1,0,'Previsión de Gastos'!B54)</f>
        <v>0</v>
      </c>
      <c r="E115" s="289">
        <f>IF('Datos generales'!$O$10&gt;'Datos generales'!E$1,0,'Previsión de Gastos'!C54)</f>
        <v>0</v>
      </c>
      <c r="F115" s="289">
        <f>IF('Datos generales'!$O$10&gt;'Datos generales'!F$1,0,'Previsión de Gastos'!D54)</f>
        <v>0</v>
      </c>
      <c r="G115" s="289">
        <f>IF('Datos generales'!$O$10&gt;'Datos generales'!G$1,0,'Previsión de Gastos'!E54)</f>
        <v>0</v>
      </c>
      <c r="H115" s="289">
        <f>IF('Datos generales'!$O$10&gt;'Datos generales'!H$1,0,'Previsión de Gastos'!F54)</f>
        <v>0</v>
      </c>
      <c r="I115" s="289">
        <f>IF('Datos generales'!$O$10&gt;'Datos generales'!I$1,0,'Previsión de Gastos'!G54)</f>
        <v>0</v>
      </c>
      <c r="J115" s="289">
        <f>IF('Datos generales'!$O$10&gt;'Datos generales'!J$1,0,'Previsión de Gastos'!H54)</f>
        <v>0</v>
      </c>
      <c r="K115" s="289">
        <f>IF('Datos generales'!$O$10&gt;'Datos generales'!K$1,0,'Previsión de Gastos'!I54)</f>
        <v>0</v>
      </c>
      <c r="L115" s="289">
        <f>IF('Datos generales'!$O$10&gt;'Datos generales'!L$1,0,'Previsión de Gastos'!J54)</f>
        <v>0</v>
      </c>
      <c r="M115" s="289">
        <f>IF('Datos generales'!$O$10&gt;'Datos generales'!M$1,0,'Previsión de Gastos'!K54)</f>
        <v>0</v>
      </c>
      <c r="N115" s="289">
        <f>IF('Datos generales'!$O$10&gt;'Datos generales'!N$1,0,'Previsión de Gastos'!L54)</f>
        <v>0</v>
      </c>
      <c r="O115" s="289">
        <f>IF('Datos generales'!$O$10&gt;'Datos generales'!O$1,0,'Previsión de Gastos'!M54)</f>
        <v>0</v>
      </c>
      <c r="P115" s="289">
        <f>IF('Datos generales'!$O$10&gt;'Datos generales'!P$1,0,'Previsión de Gastos'!N54)</f>
        <v>0</v>
      </c>
      <c r="Q115" s="637"/>
      <c r="R115" s="572">
        <f t="shared" si="0"/>
        <v>0</v>
      </c>
    </row>
    <row r="116" spans="2:21" x14ac:dyDescent="0.2">
      <c r="B116" s="859" t="str">
        <f>'Previsión de Gastos'!B55</f>
        <v>Total Ingresos financieros</v>
      </c>
      <c r="C116" s="855"/>
      <c r="D116" s="912">
        <f>SUM(D114:D115)</f>
        <v>0</v>
      </c>
      <c r="E116" s="873">
        <f>SUM(E114:E115)</f>
        <v>0</v>
      </c>
      <c r="F116" s="873">
        <f t="shared" ref="F116:Q116" si="12">SUM(F114:F115)</f>
        <v>0</v>
      </c>
      <c r="G116" s="873">
        <f t="shared" si="12"/>
        <v>0</v>
      </c>
      <c r="H116" s="873">
        <f t="shared" si="12"/>
        <v>0</v>
      </c>
      <c r="I116" s="873">
        <f t="shared" si="12"/>
        <v>0</v>
      </c>
      <c r="J116" s="873">
        <f t="shared" si="12"/>
        <v>0</v>
      </c>
      <c r="K116" s="873">
        <f t="shared" si="12"/>
        <v>0</v>
      </c>
      <c r="L116" s="873">
        <f t="shared" si="12"/>
        <v>0</v>
      </c>
      <c r="M116" s="873">
        <f t="shared" si="12"/>
        <v>0</v>
      </c>
      <c r="N116" s="873">
        <f t="shared" si="12"/>
        <v>0</v>
      </c>
      <c r="O116" s="873">
        <f t="shared" si="12"/>
        <v>0</v>
      </c>
      <c r="P116" s="873">
        <f t="shared" si="12"/>
        <v>0</v>
      </c>
      <c r="Q116" s="874">
        <f t="shared" si="12"/>
        <v>0</v>
      </c>
      <c r="R116" s="875">
        <f t="shared" si="0"/>
        <v>0</v>
      </c>
    </row>
    <row r="117" spans="2:21" x14ac:dyDescent="0.2">
      <c r="B117" s="210" t="str">
        <f>'Previsión de Gastos'!B25</f>
        <v>Gastos financieros:</v>
      </c>
      <c r="C117" s="1"/>
      <c r="D117" s="901"/>
      <c r="E117" s="624"/>
      <c r="F117" s="624"/>
      <c r="G117" s="624"/>
      <c r="H117" s="624"/>
      <c r="I117" s="624"/>
      <c r="J117" s="624"/>
      <c r="K117" s="624"/>
      <c r="L117" s="624"/>
      <c r="M117" s="624"/>
      <c r="N117" s="624"/>
      <c r="O117" s="624"/>
      <c r="P117" s="624"/>
      <c r="Q117" s="781"/>
      <c r="R117" s="782"/>
      <c r="S117" s="624"/>
      <c r="T117" s="624"/>
      <c r="U117" s="624"/>
    </row>
    <row r="118" spans="2:21" x14ac:dyDescent="0.2">
      <c r="B118" s="296"/>
      <c r="C118" s="150" t="str">
        <f>'Previsión de Gastos'!B26</f>
        <v>Gastos amortización préstamos Largo Plazo</v>
      </c>
      <c r="D118" s="908"/>
      <c r="E118" s="787">
        <f ca="1">OFFSET('Préstamos LP'!$E$35,'Datos generales'!D1,0,1,1)</f>
        <v>0</v>
      </c>
      <c r="F118" s="787">
        <f ca="1">OFFSET('Préstamos LP'!$E$35,'Datos generales'!E1,0,1,1)</f>
        <v>0</v>
      </c>
      <c r="G118" s="787">
        <f ca="1">OFFSET('Préstamos LP'!$E$35,'Datos generales'!F1,0,1,1)</f>
        <v>0</v>
      </c>
      <c r="H118" s="787">
        <f ca="1">OFFSET('Préstamos LP'!$E$35,'Datos generales'!G1,0,1,1)</f>
        <v>0</v>
      </c>
      <c r="I118" s="787">
        <f ca="1">OFFSET('Préstamos LP'!$E$35,'Datos generales'!H1,0,1,1)</f>
        <v>0</v>
      </c>
      <c r="J118" s="787">
        <f ca="1">OFFSET('Préstamos LP'!$E$35,'Datos generales'!I1,0,1,1)</f>
        <v>0</v>
      </c>
      <c r="K118" s="787">
        <f ca="1">OFFSET('Préstamos LP'!$E$35,'Datos generales'!J1,0,1,1)</f>
        <v>0</v>
      </c>
      <c r="L118" s="787">
        <f ca="1">OFFSET('Préstamos LP'!$E$35,'Datos generales'!K1,0,1,1)</f>
        <v>0</v>
      </c>
      <c r="M118" s="787">
        <f ca="1">OFFSET('Préstamos LP'!$E$35,'Datos generales'!L1,0,1,1)</f>
        <v>0</v>
      </c>
      <c r="N118" s="787">
        <f ca="1">OFFSET('Préstamos LP'!$E$35,'Datos generales'!M1,0,1,1)</f>
        <v>0</v>
      </c>
      <c r="O118" s="787">
        <f ca="1">OFFSET('Préstamos LP'!$E$35,'Datos generales'!N1,0,1,1)</f>
        <v>0</v>
      </c>
      <c r="P118" s="787">
        <f ca="1">OFFSET('Préstamos LP'!$E$35,'Datos generales'!O1,0,1,1)</f>
        <v>0</v>
      </c>
      <c r="Q118" s="788"/>
      <c r="R118" s="791">
        <f t="shared" ca="1" si="0"/>
        <v>0</v>
      </c>
      <c r="S118" s="624"/>
      <c r="T118" s="624"/>
      <c r="U118" s="624"/>
    </row>
    <row r="119" spans="2:21" x14ac:dyDescent="0.2">
      <c r="B119" s="296"/>
      <c r="C119" s="150" t="s">
        <v>428</v>
      </c>
      <c r="D119" s="302">
        <f>'Préstamos LP'!$D$34</f>
        <v>0</v>
      </c>
      <c r="E119" s="787">
        <f ca="1">OFFSET('Préstamos LP'!$D$35,'Datos generales'!D1,0,1,1)</f>
        <v>0</v>
      </c>
      <c r="F119" s="787">
        <f ca="1">OFFSET('Préstamos LP'!$D$35,'Datos generales'!E1,0,1,1)</f>
        <v>0</v>
      </c>
      <c r="G119" s="787">
        <f ca="1">OFFSET('Préstamos LP'!$D$35,'Datos generales'!F1,0,1,1)</f>
        <v>0</v>
      </c>
      <c r="H119" s="787">
        <f ca="1">OFFSET('Préstamos LP'!$D$35,'Datos generales'!G1,0,1,1)</f>
        <v>0</v>
      </c>
      <c r="I119" s="787">
        <f ca="1">OFFSET('Préstamos LP'!$D$35,'Datos generales'!H1,0,1,1)</f>
        <v>0</v>
      </c>
      <c r="J119" s="787">
        <f ca="1">OFFSET('Préstamos LP'!$D$35,'Datos generales'!I1,0,1,1)</f>
        <v>0</v>
      </c>
      <c r="K119" s="787">
        <f ca="1">OFFSET('Préstamos LP'!$D$35,'Datos generales'!J1,0,1,1)</f>
        <v>0</v>
      </c>
      <c r="L119" s="787">
        <f ca="1">OFFSET('Préstamos LP'!$D$35,'Datos generales'!K1,0,1,1)</f>
        <v>0</v>
      </c>
      <c r="M119" s="787">
        <f ca="1">OFFSET('Préstamos LP'!$D$35,'Datos generales'!L1,0,1,1)</f>
        <v>0</v>
      </c>
      <c r="N119" s="787">
        <f ca="1">OFFSET('Préstamos LP'!$E$35,'Datos generales'!M2,0,1,1)</f>
        <v>0</v>
      </c>
      <c r="O119" s="787">
        <f ca="1">OFFSET('Préstamos LP'!$D$35,'Datos generales'!N1,0,1,1)</f>
        <v>0</v>
      </c>
      <c r="P119" s="787">
        <f ca="1">OFFSET('Préstamos LP'!$D$35,'Datos generales'!O1,0,1,1)</f>
        <v>0</v>
      </c>
      <c r="Q119" s="788"/>
      <c r="R119" s="572">
        <f t="shared" ca="1" si="0"/>
        <v>0</v>
      </c>
      <c r="T119" s="624"/>
      <c r="U119" s="624"/>
    </row>
    <row r="120" spans="2:21" x14ac:dyDescent="0.2">
      <c r="B120" s="296"/>
      <c r="C120" s="150" t="str">
        <f>'Previsión de Gastos'!B27</f>
        <v>Gastos amortización préstamos Corto Plazo</v>
      </c>
      <c r="D120" s="913"/>
      <c r="E120" s="302">
        <f ca="1">OFFSET('Préstamos CP'!$D$24,'Datos generales'!D1,0,1,1)</f>
        <v>0</v>
      </c>
      <c r="F120" s="302">
        <f ca="1">OFFSET('Préstamos CP'!$D$24,'Datos generales'!E1,0,1,1)</f>
        <v>0</v>
      </c>
      <c r="G120" s="302">
        <f ca="1">OFFSET('Préstamos CP'!$D$24,'Datos generales'!F1,0,1,1)</f>
        <v>0</v>
      </c>
      <c r="H120" s="302">
        <f ca="1">OFFSET('Préstamos CP'!$D$24,'Datos generales'!G1,0,1,1)</f>
        <v>0</v>
      </c>
      <c r="I120" s="302">
        <f ca="1">OFFSET('Préstamos CP'!$D$24,'Datos generales'!H1,0,1,1)</f>
        <v>0</v>
      </c>
      <c r="J120" s="302">
        <f ca="1">OFFSET('Préstamos CP'!$D$24,'Datos generales'!I1,0,1,1)</f>
        <v>0</v>
      </c>
      <c r="K120" s="302">
        <f ca="1">OFFSET('Préstamos CP'!$D$24,'Datos generales'!J1,0,1,1)</f>
        <v>0</v>
      </c>
      <c r="L120" s="302">
        <f ca="1">OFFSET('Préstamos CP'!$D$24,'Datos generales'!K1,0,1,1)</f>
        <v>0</v>
      </c>
      <c r="M120" s="302">
        <f ca="1">OFFSET('Préstamos CP'!$D$24,'Datos generales'!L1,0,1,1)</f>
        <v>0</v>
      </c>
      <c r="N120" s="302">
        <f ca="1">OFFSET('Préstamos CP'!$D$24,'Datos generales'!M2,0,1,1)</f>
        <v>0</v>
      </c>
      <c r="O120" s="302">
        <f ca="1">OFFSET('Préstamos CP'!$D$24,'Datos generales'!N1,0,1,1)</f>
        <v>0</v>
      </c>
      <c r="P120" s="302">
        <f ca="1">OFFSET('Préstamos CP'!$D$24,'Datos generales'!O1,0,1,1)</f>
        <v>0</v>
      </c>
      <c r="Q120" s="637"/>
      <c r="R120" s="642">
        <f t="shared" ca="1" si="0"/>
        <v>0</v>
      </c>
    </row>
    <row r="121" spans="2:21" x14ac:dyDescent="0.2">
      <c r="B121" s="296"/>
      <c r="C121" s="156" t="str">
        <f>'Previsión de Gastos'!B28</f>
        <v>Arrendamientos Financieros</v>
      </c>
      <c r="D121" s="905"/>
      <c r="E121" s="289">
        <f ca="1">IF('Datos generales'!$O$10&gt;'Datos generales'!E$1,0,'Previsión de Gastos'!C28)</f>
        <v>0</v>
      </c>
      <c r="F121" s="289">
        <f ca="1">IF('Datos generales'!$O$10&gt;'Datos generales'!F$1,0,'Previsión de Gastos'!D28)</f>
        <v>0</v>
      </c>
      <c r="G121" s="289">
        <f ca="1">IF('Datos generales'!$O$10&gt;'Datos generales'!G$1,0,'Previsión de Gastos'!E28)</f>
        <v>0</v>
      </c>
      <c r="H121" s="289">
        <f ca="1">IF('Datos generales'!$O$10&gt;'Datos generales'!H$1,0,'Previsión de Gastos'!F28)</f>
        <v>0</v>
      </c>
      <c r="I121" s="289">
        <f ca="1">IF('Datos generales'!$O$10&gt;'Datos generales'!I$1,0,'Previsión de Gastos'!G28)</f>
        <v>0</v>
      </c>
      <c r="J121" s="289">
        <f ca="1">IF('Datos generales'!$O$10&gt;'Datos generales'!J$1,0,'Previsión de Gastos'!H28)</f>
        <v>0</v>
      </c>
      <c r="K121" s="289">
        <f ca="1">IF('Datos generales'!$O$10&gt;'Datos generales'!K$1,0,'Previsión de Gastos'!I28)</f>
        <v>0</v>
      </c>
      <c r="L121" s="289">
        <f ca="1">IF('Datos generales'!$O$10&gt;'Datos generales'!L$1,0,'Previsión de Gastos'!J28)</f>
        <v>0</v>
      </c>
      <c r="M121" s="289">
        <f ca="1">IF('Datos generales'!$O$10&gt;'Datos generales'!M$1,0,'Previsión de Gastos'!K28)</f>
        <v>0</v>
      </c>
      <c r="N121" s="289">
        <f ca="1">IF('Datos generales'!$O$10&gt;'Datos generales'!N$1,0,'Previsión de Gastos'!L28)</f>
        <v>0</v>
      </c>
      <c r="O121" s="289">
        <f ca="1">IF('Datos generales'!$O$10&gt;'Datos generales'!O$1,0,'Previsión de Gastos'!M28)</f>
        <v>0</v>
      </c>
      <c r="P121" s="289">
        <f ca="1">IF('Datos generales'!$O$10&gt;'Datos generales'!P$1,0,'Previsión de Gastos'!N28)</f>
        <v>0</v>
      </c>
      <c r="Q121" s="637"/>
      <c r="R121" s="641">
        <f t="shared" ca="1" si="0"/>
        <v>0</v>
      </c>
    </row>
    <row r="122" spans="2:21" x14ac:dyDescent="0.2">
      <c r="B122" s="296"/>
      <c r="C122" s="156">
        <f>'Previsión de Gastos'!B29</f>
        <v>0</v>
      </c>
      <c r="D122" s="905">
        <f>IF('Datos generales'!$O$10&gt;'Datos generales'!D$1,0,'Previsión de Gastos'!B29)</f>
        <v>0</v>
      </c>
      <c r="E122" s="289">
        <f>IF('Datos generales'!$O$10&gt;'Datos generales'!E$1,0,'Previsión de Gastos'!C29)</f>
        <v>0</v>
      </c>
      <c r="F122" s="289">
        <f>IF('Datos generales'!$O$10&gt;'Datos generales'!F$1,0,'Previsión de Gastos'!D29)</f>
        <v>0</v>
      </c>
      <c r="G122" s="289">
        <f>IF('Datos generales'!$O$10&gt;'Datos generales'!G$1,0,'Previsión de Gastos'!E29)</f>
        <v>0</v>
      </c>
      <c r="H122" s="289">
        <f>IF('Datos generales'!$O$10&gt;'Datos generales'!H$1,0,'Previsión de Gastos'!F29)</f>
        <v>0</v>
      </c>
      <c r="I122" s="289">
        <f>IF('Datos generales'!$O$10&gt;'Datos generales'!I$1,0,'Previsión de Gastos'!G29)</f>
        <v>0</v>
      </c>
      <c r="J122" s="289">
        <f>IF('Datos generales'!$O$10&gt;'Datos generales'!J$1,0,'Previsión de Gastos'!H29)</f>
        <v>0</v>
      </c>
      <c r="K122" s="289">
        <f>IF('Datos generales'!$O$10&gt;'Datos generales'!K$1,0,'Previsión de Gastos'!I29)</f>
        <v>0</v>
      </c>
      <c r="L122" s="289">
        <f>IF('Datos generales'!$O$10&gt;'Datos generales'!L$1,0,'Previsión de Gastos'!J29)</f>
        <v>0</v>
      </c>
      <c r="M122" s="289">
        <f>IF('Datos generales'!$O$10&gt;'Datos generales'!M$1,0,'Previsión de Gastos'!K29)</f>
        <v>0</v>
      </c>
      <c r="N122" s="289">
        <f>IF('Datos generales'!$O$10&gt;'Datos generales'!N$1,0,'Previsión de Gastos'!L29)</f>
        <v>0</v>
      </c>
      <c r="O122" s="289">
        <f>IF('Datos generales'!$O$10&gt;'Datos generales'!O$1,0,'Previsión de Gastos'!M29)</f>
        <v>0</v>
      </c>
      <c r="P122" s="289">
        <f>IF('Datos generales'!$O$10&gt;'Datos generales'!P$1,0,'Previsión de Gastos'!N29)</f>
        <v>0</v>
      </c>
      <c r="Q122" s="637"/>
      <c r="R122" s="572">
        <f t="shared" si="0"/>
        <v>0</v>
      </c>
    </row>
    <row r="123" spans="2:21" x14ac:dyDescent="0.2">
      <c r="B123" s="859" t="str">
        <f>'Previsión de Gastos'!B30</f>
        <v>Total Gastos financieros</v>
      </c>
      <c r="C123" s="476"/>
      <c r="D123" s="909">
        <f t="shared" ref="D123:Q123" si="13">SUM(D118:D122)</f>
        <v>0</v>
      </c>
      <c r="E123" s="865">
        <f t="shared" ca="1" si="13"/>
        <v>0</v>
      </c>
      <c r="F123" s="865">
        <f t="shared" ca="1" si="13"/>
        <v>0</v>
      </c>
      <c r="G123" s="865">
        <f t="shared" ca="1" si="13"/>
        <v>0</v>
      </c>
      <c r="H123" s="865">
        <f t="shared" ca="1" si="13"/>
        <v>0</v>
      </c>
      <c r="I123" s="865">
        <f t="shared" ca="1" si="13"/>
        <v>0</v>
      </c>
      <c r="J123" s="865">
        <f t="shared" ca="1" si="13"/>
        <v>0</v>
      </c>
      <c r="K123" s="865">
        <f t="shared" ca="1" si="13"/>
        <v>0</v>
      </c>
      <c r="L123" s="865">
        <f t="shared" ca="1" si="13"/>
        <v>0</v>
      </c>
      <c r="M123" s="865">
        <f t="shared" ca="1" si="13"/>
        <v>0</v>
      </c>
      <c r="N123" s="865">
        <f t="shared" ca="1" si="13"/>
        <v>0</v>
      </c>
      <c r="O123" s="865">
        <f t="shared" ca="1" si="13"/>
        <v>0</v>
      </c>
      <c r="P123" s="865">
        <f t="shared" ca="1" si="13"/>
        <v>0</v>
      </c>
      <c r="Q123" s="646">
        <f t="shared" si="13"/>
        <v>0</v>
      </c>
      <c r="R123" s="866">
        <f t="shared" ca="1" si="0"/>
        <v>0</v>
      </c>
      <c r="S123" s="624"/>
      <c r="T123" s="624"/>
      <c r="U123" s="624"/>
    </row>
    <row r="124" spans="2:21" x14ac:dyDescent="0.2">
      <c r="B124" s="210"/>
      <c r="C124" s="1"/>
      <c r="D124" s="893"/>
      <c r="E124" s="626"/>
      <c r="F124" s="626"/>
      <c r="G124" s="626"/>
      <c r="H124" s="626"/>
      <c r="I124" s="626"/>
      <c r="J124" s="626"/>
      <c r="K124" s="626"/>
      <c r="L124" s="626"/>
      <c r="M124" s="626"/>
      <c r="N124" s="626"/>
      <c r="O124" s="626"/>
      <c r="P124" s="626"/>
      <c r="Q124" s="792"/>
      <c r="R124" s="793"/>
      <c r="S124" s="624"/>
      <c r="T124" s="624"/>
      <c r="U124" s="624"/>
    </row>
    <row r="125" spans="2:21" ht="15.75" x14ac:dyDescent="0.25">
      <c r="B125" s="861" t="s">
        <v>398</v>
      </c>
      <c r="C125" s="872"/>
      <c r="D125" s="910">
        <f t="shared" ref="D125:P125" si="14">+D116-D123</f>
        <v>0</v>
      </c>
      <c r="E125" s="869">
        <f t="shared" ca="1" si="14"/>
        <v>0</v>
      </c>
      <c r="F125" s="869">
        <f t="shared" ca="1" si="14"/>
        <v>0</v>
      </c>
      <c r="G125" s="869">
        <f t="shared" ca="1" si="14"/>
        <v>0</v>
      </c>
      <c r="H125" s="869">
        <f t="shared" ca="1" si="14"/>
        <v>0</v>
      </c>
      <c r="I125" s="869">
        <f t="shared" ca="1" si="14"/>
        <v>0</v>
      </c>
      <c r="J125" s="869">
        <f t="shared" ca="1" si="14"/>
        <v>0</v>
      </c>
      <c r="K125" s="869">
        <f t="shared" ca="1" si="14"/>
        <v>0</v>
      </c>
      <c r="L125" s="869">
        <f t="shared" ca="1" si="14"/>
        <v>0</v>
      </c>
      <c r="M125" s="869">
        <f t="shared" ca="1" si="14"/>
        <v>0</v>
      </c>
      <c r="N125" s="869">
        <f t="shared" ca="1" si="14"/>
        <v>0</v>
      </c>
      <c r="O125" s="869">
        <f t="shared" ca="1" si="14"/>
        <v>0</v>
      </c>
      <c r="P125" s="869">
        <f t="shared" ca="1" si="14"/>
        <v>0</v>
      </c>
      <c r="Q125" s="870"/>
      <c r="R125" s="871">
        <f t="shared" ca="1" si="0"/>
        <v>0</v>
      </c>
      <c r="S125" s="790"/>
      <c r="T125" s="624"/>
      <c r="U125" s="624"/>
    </row>
    <row r="126" spans="2:21" ht="15.75" x14ac:dyDescent="0.25">
      <c r="B126" s="562"/>
      <c r="C126" s="1"/>
      <c r="D126" s="893"/>
      <c r="E126" s="626"/>
      <c r="F126" s="626"/>
      <c r="G126" s="626"/>
      <c r="H126" s="626"/>
      <c r="I126" s="626"/>
      <c r="J126" s="626"/>
      <c r="K126" s="626"/>
      <c r="L126" s="626"/>
      <c r="M126" s="626"/>
      <c r="N126" s="626"/>
      <c r="O126" s="626"/>
      <c r="P126" s="626"/>
      <c r="Q126" s="781"/>
      <c r="R126" s="782"/>
      <c r="S126" s="624"/>
      <c r="T126" s="624"/>
      <c r="U126" s="624"/>
    </row>
    <row r="127" spans="2:21" s="75" customFormat="1" ht="16.5" thickBot="1" x14ac:dyDescent="0.3">
      <c r="B127" s="643" t="s">
        <v>399</v>
      </c>
      <c r="C127" s="644"/>
      <c r="D127" s="1026">
        <f t="shared" ref="D127:Q127" si="15">+D112+D125</f>
        <v>0</v>
      </c>
      <c r="E127" s="1027">
        <f t="shared" ca="1" si="15"/>
        <v>0</v>
      </c>
      <c r="F127" s="1027">
        <f t="shared" ca="1" si="15"/>
        <v>0</v>
      </c>
      <c r="G127" s="1027">
        <f t="shared" ca="1" si="15"/>
        <v>0</v>
      </c>
      <c r="H127" s="1027">
        <f t="shared" ca="1" si="15"/>
        <v>0</v>
      </c>
      <c r="I127" s="1027">
        <f t="shared" ca="1" si="15"/>
        <v>0</v>
      </c>
      <c r="J127" s="1027">
        <f t="shared" ca="1" si="15"/>
        <v>0</v>
      </c>
      <c r="K127" s="1027">
        <f t="shared" ca="1" si="15"/>
        <v>0</v>
      </c>
      <c r="L127" s="1027">
        <f t="shared" ca="1" si="15"/>
        <v>0</v>
      </c>
      <c r="M127" s="1027">
        <f t="shared" ca="1" si="15"/>
        <v>0</v>
      </c>
      <c r="N127" s="1028">
        <f t="shared" ca="1" si="15"/>
        <v>0</v>
      </c>
      <c r="O127" s="1027">
        <f t="shared" ca="1" si="15"/>
        <v>0</v>
      </c>
      <c r="P127" s="1027">
        <f t="shared" ca="1" si="15"/>
        <v>0</v>
      </c>
      <c r="Q127" s="1029">
        <f t="shared" si="15"/>
        <v>0</v>
      </c>
      <c r="R127" s="1030">
        <f t="shared" ca="1" si="0"/>
        <v>0</v>
      </c>
      <c r="S127" s="759"/>
      <c r="T127" s="759"/>
      <c r="U127" s="759"/>
    </row>
    <row r="128" spans="2:21" s="75" customFormat="1" ht="16.5" thickTop="1" x14ac:dyDescent="0.25">
      <c r="B128" s="59"/>
      <c r="C128" s="307" t="str">
        <f>IF('Datos generales'!$D$22&lt;=0, "(*)   En empresas que no repercuten IVA. El importe de Compras aparece incrementado en este impuesto ","")</f>
        <v/>
      </c>
      <c r="D128" s="900"/>
      <c r="E128" s="677"/>
      <c r="F128" s="677"/>
      <c r="G128" s="677"/>
      <c r="H128" s="677"/>
      <c r="I128" s="677"/>
      <c r="J128" s="677"/>
      <c r="K128" s="677"/>
      <c r="L128" s="677"/>
      <c r="M128" s="677"/>
      <c r="N128" s="794"/>
      <c r="O128" s="677"/>
      <c r="P128" s="677"/>
      <c r="Q128" s="677"/>
      <c r="R128" s="677"/>
      <c r="S128" s="759"/>
      <c r="T128" s="759"/>
      <c r="U128" s="759"/>
    </row>
    <row r="129" spans="2:21" ht="15.75" x14ac:dyDescent="0.25">
      <c r="D129" s="901"/>
      <c r="E129" s="677"/>
      <c r="F129" s="677"/>
      <c r="G129" s="677"/>
      <c r="H129" s="677"/>
      <c r="I129" s="677"/>
      <c r="J129" s="677"/>
      <c r="K129" s="677"/>
      <c r="L129" s="677"/>
      <c r="M129" s="677"/>
      <c r="N129" s="677"/>
      <c r="O129" s="677"/>
      <c r="P129" s="677"/>
      <c r="Q129" s="624"/>
      <c r="R129" s="624"/>
      <c r="S129" s="624"/>
      <c r="T129" s="624"/>
      <c r="U129" s="624"/>
    </row>
    <row r="130" spans="2:21" x14ac:dyDescent="0.2">
      <c r="B130" s="1"/>
      <c r="C130" s="1"/>
      <c r="D130" s="914"/>
      <c r="E130" s="795"/>
      <c r="F130" s="795"/>
      <c r="G130" s="795"/>
      <c r="H130" s="795"/>
      <c r="I130" s="795"/>
      <c r="J130" s="795"/>
      <c r="K130" s="795"/>
      <c r="L130" s="795"/>
      <c r="M130" s="795"/>
      <c r="N130" s="795"/>
      <c r="O130" s="795"/>
      <c r="P130" s="624"/>
      <c r="Q130" s="624"/>
      <c r="R130" s="624"/>
      <c r="S130" s="624"/>
      <c r="T130" s="624"/>
      <c r="U130" s="624"/>
    </row>
    <row r="131" spans="2:21" ht="16.5" thickBot="1" x14ac:dyDescent="0.3">
      <c r="B131" s="4"/>
      <c r="C131" s="138" t="s">
        <v>429</v>
      </c>
      <c r="D131" s="914"/>
      <c r="E131" s="795"/>
      <c r="F131" s="624"/>
      <c r="G131" s="795"/>
      <c r="H131" s="795"/>
      <c r="I131" s="624"/>
      <c r="J131" s="677"/>
      <c r="K131" s="795"/>
      <c r="L131" s="795"/>
      <c r="M131" s="795"/>
      <c r="N131" s="795"/>
      <c r="O131" s="795"/>
      <c r="P131" s="795"/>
      <c r="Q131" s="795"/>
      <c r="R131" s="624"/>
      <c r="S131" s="624"/>
      <c r="T131" s="624"/>
      <c r="U131" s="624"/>
    </row>
    <row r="132" spans="2:21" ht="23.25" thickTop="1" x14ac:dyDescent="0.2">
      <c r="B132" s="1375" t="str">
        <f>B13</f>
        <v>Conceptos</v>
      </c>
      <c r="C132" s="1376"/>
      <c r="D132" s="915" t="s">
        <v>296</v>
      </c>
      <c r="E132" s="796" t="s">
        <v>297</v>
      </c>
      <c r="F132" s="796" t="s">
        <v>298</v>
      </c>
      <c r="G132" s="796" t="s">
        <v>120</v>
      </c>
      <c r="H132" s="796" t="s">
        <v>121</v>
      </c>
      <c r="I132" s="796" t="s">
        <v>122</v>
      </c>
      <c r="J132" s="796" t="s">
        <v>123</v>
      </c>
      <c r="K132" s="796" t="s">
        <v>299</v>
      </c>
      <c r="L132" s="796" t="s">
        <v>300</v>
      </c>
      <c r="M132" s="796" t="s">
        <v>301</v>
      </c>
      <c r="N132" s="796" t="s">
        <v>302</v>
      </c>
      <c r="O132" s="796" t="s">
        <v>303</v>
      </c>
      <c r="P132" s="1114" t="s">
        <v>413</v>
      </c>
      <c r="Q132" s="797" t="s">
        <v>129</v>
      </c>
      <c r="R132" s="624"/>
      <c r="S132" s="624"/>
      <c r="T132" s="624"/>
      <c r="U132" s="624"/>
    </row>
    <row r="133" spans="2:21" x14ac:dyDescent="0.2">
      <c r="B133" s="100" t="str">
        <f>B53</f>
        <v>Importe neto de la cifra de negocios:</v>
      </c>
      <c r="C133" s="300"/>
      <c r="D133" s="895">
        <f>'Presupuesto de ventas'!D86</f>
        <v>0</v>
      </c>
      <c r="E133" s="895">
        <f>'Presupuesto de ventas'!E86</f>
        <v>0</v>
      </c>
      <c r="F133" s="895">
        <f>'Presupuesto de ventas'!F86</f>
        <v>0</v>
      </c>
      <c r="G133" s="895">
        <f>'Presupuesto de ventas'!G86</f>
        <v>0</v>
      </c>
      <c r="H133" s="895">
        <f>'Presupuesto de ventas'!H86</f>
        <v>0</v>
      </c>
      <c r="I133" s="895">
        <f>'Presupuesto de ventas'!I86</f>
        <v>0</v>
      </c>
      <c r="J133" s="895">
        <f>'Presupuesto de ventas'!J86</f>
        <v>0</v>
      </c>
      <c r="K133" s="895">
        <f>'Presupuesto de ventas'!K86</f>
        <v>0</v>
      </c>
      <c r="L133" s="895">
        <f>'Presupuesto de ventas'!L86</f>
        <v>0</v>
      </c>
      <c r="M133" s="895">
        <f>'Presupuesto de ventas'!M86</f>
        <v>0</v>
      </c>
      <c r="N133" s="895">
        <f>'Presupuesto de ventas'!N86</f>
        <v>0</v>
      </c>
      <c r="O133" s="895">
        <f>'Presupuesto de ventas'!O86</f>
        <v>0</v>
      </c>
      <c r="P133" s="647"/>
      <c r="Q133" s="798">
        <f>SUM(D133:P133)</f>
        <v>0</v>
      </c>
      <c r="R133" s="624"/>
      <c r="S133" s="624"/>
      <c r="T133" s="624"/>
      <c r="U133" s="624"/>
    </row>
    <row r="134" spans="2:21" ht="27.75" customHeight="1" x14ac:dyDescent="0.2">
      <c r="B134" s="1372" t="str">
        <f>B54</f>
        <v>Variación de existencias de productos terminados y en curso de fabricación:</v>
      </c>
      <c r="C134" s="1373"/>
      <c r="D134" s="289">
        <f>IF('Datos generales'!$D$22&lt;=0,'Margen B'!C202,'Margen B'!C201)</f>
        <v>0</v>
      </c>
      <c r="E134" s="289">
        <f>IF('Datos generales'!$D$22&lt;=0,'Margen B'!D202,'Margen B'!D201)</f>
        <v>0</v>
      </c>
      <c r="F134" s="289">
        <f>IF('Datos generales'!$D$22&lt;=0,'Margen B'!E202,'Margen B'!E201)</f>
        <v>0</v>
      </c>
      <c r="G134" s="289">
        <f>IF('Datos generales'!$D$22&lt;=0,'Margen B'!F202,'Margen B'!F201)</f>
        <v>0</v>
      </c>
      <c r="H134" s="289">
        <f>IF('Datos generales'!$D$22&lt;=0,'Margen B'!G202,'Margen B'!G201)</f>
        <v>0</v>
      </c>
      <c r="I134" s="289">
        <f>IF('Datos generales'!$D$22&lt;=0,'Margen B'!H202,'Margen B'!H201)</f>
        <v>0</v>
      </c>
      <c r="J134" s="289">
        <f>IF('Datos generales'!$D$22&lt;=0,'Margen B'!I202,'Margen B'!I201)</f>
        <v>0</v>
      </c>
      <c r="K134" s="289">
        <f>IF('Datos generales'!$D$22&lt;=0,'Margen B'!J202,'Margen B'!J201)</f>
        <v>0</v>
      </c>
      <c r="L134" s="289">
        <f>IF('Datos generales'!$D$22&lt;=0,'Margen B'!K202,'Margen B'!K201)</f>
        <v>0</v>
      </c>
      <c r="M134" s="289">
        <f>IF('Datos generales'!$D$22&lt;=0,'Margen B'!L202,'Margen B'!L201)</f>
        <v>0</v>
      </c>
      <c r="N134" s="289">
        <f>IF('Datos generales'!$D$22&lt;=0,'Margen B'!M202,'Margen B'!M201)</f>
        <v>0</v>
      </c>
      <c r="O134" s="289">
        <f>IF('Datos generales'!$D$22&lt;=0,'Margen B'!N202,'Margen B'!N201)</f>
        <v>0</v>
      </c>
      <c r="P134" s="744">
        <f>IF('Datos generales'!D22&lt;=0, 'Margen B'!P202-'Margen B'!P144-'Margen B'!O202, 'Margen B'!P201-'Margen B'!P143-'Margen B'!O201)</f>
        <v>0</v>
      </c>
      <c r="Q134" s="920">
        <f t="shared" ref="Q134:Q192" si="16">SUM(D134:P134)</f>
        <v>0</v>
      </c>
      <c r="R134" s="624"/>
      <c r="S134" s="624"/>
      <c r="T134" s="624"/>
      <c r="U134" s="624"/>
    </row>
    <row r="135" spans="2:21" ht="15.75" x14ac:dyDescent="0.25">
      <c r="B135" s="100" t="str">
        <f>B55</f>
        <v>Trabajos realizados por la empresa para su activo:</v>
      </c>
      <c r="C135" s="631"/>
      <c r="D135" s="629"/>
      <c r="E135" s="629"/>
      <c r="F135" s="629"/>
      <c r="G135" s="629"/>
      <c r="H135" s="629"/>
      <c r="I135" s="629"/>
      <c r="J135" s="629"/>
      <c r="K135" s="629"/>
      <c r="L135" s="629"/>
      <c r="M135" s="629"/>
      <c r="N135" s="629"/>
      <c r="O135" s="629"/>
      <c r="P135" s="636"/>
      <c r="Q135" s="1193">
        <f t="shared" si="16"/>
        <v>0</v>
      </c>
      <c r="S135" s="58"/>
    </row>
    <row r="136" spans="2:21" ht="15.75" x14ac:dyDescent="0.25">
      <c r="B136" s="563" t="str">
        <f>B56</f>
        <v>Aprovisionamientos:</v>
      </c>
      <c r="C136" s="75"/>
      <c r="D136" s="900"/>
      <c r="E136" s="677"/>
      <c r="F136" s="677"/>
      <c r="G136" s="677"/>
      <c r="H136" s="677"/>
      <c r="I136" s="677"/>
      <c r="J136" s="677"/>
      <c r="K136" s="677"/>
      <c r="L136" s="677"/>
      <c r="M136" s="677"/>
      <c r="N136" s="677"/>
      <c r="O136" s="677"/>
      <c r="P136" s="784"/>
      <c r="Q136" s="1195"/>
      <c r="R136" s="624"/>
      <c r="S136" s="624"/>
      <c r="T136" s="624"/>
      <c r="U136" s="624"/>
    </row>
    <row r="137" spans="2:21" x14ac:dyDescent="0.2">
      <c r="B137" s="560"/>
      <c r="C137" t="s">
        <v>417</v>
      </c>
      <c r="D137" s="896">
        <f>'Margen B'!D162</f>
        <v>0</v>
      </c>
      <c r="E137" s="625">
        <f>'Margen B'!E162</f>
        <v>0</v>
      </c>
      <c r="F137" s="625">
        <f>'Margen B'!F162</f>
        <v>0</v>
      </c>
      <c r="G137" s="625">
        <f>'Margen B'!G162</f>
        <v>0</v>
      </c>
      <c r="H137" s="625">
        <f>'Margen B'!H162</f>
        <v>0</v>
      </c>
      <c r="I137" s="625">
        <f>'Margen B'!I162</f>
        <v>0</v>
      </c>
      <c r="J137" s="625">
        <f>'Margen B'!J162</f>
        <v>0</v>
      </c>
      <c r="K137" s="625">
        <f>'Margen B'!K162</f>
        <v>0</v>
      </c>
      <c r="L137" s="625">
        <f>'Margen B'!L162</f>
        <v>0</v>
      </c>
      <c r="M137" s="625">
        <f>'Margen B'!M162</f>
        <v>0</v>
      </c>
      <c r="N137" s="625">
        <f>'Margen B'!N162</f>
        <v>0</v>
      </c>
      <c r="O137" s="625">
        <f>'Margen B'!O162</f>
        <v>0</v>
      </c>
      <c r="P137" s="781"/>
      <c r="Q137" s="1196">
        <f t="shared" si="16"/>
        <v>0</v>
      </c>
      <c r="R137" s="624"/>
      <c r="S137" s="624"/>
      <c r="T137" s="624"/>
      <c r="U137" s="624"/>
    </row>
    <row r="138" spans="2:21" ht="25.5" x14ac:dyDescent="0.2">
      <c r="B138" s="560"/>
      <c r="C138" s="978" t="s">
        <v>418</v>
      </c>
      <c r="D138" s="897">
        <f>'Margen B'!D176</f>
        <v>0</v>
      </c>
      <c r="E138" s="897">
        <f>'Margen B'!E176</f>
        <v>0</v>
      </c>
      <c r="F138" s="897">
        <f>'Margen B'!F176</f>
        <v>0</v>
      </c>
      <c r="G138" s="897">
        <f>'Margen B'!G176</f>
        <v>0</v>
      </c>
      <c r="H138" s="897">
        <f>'Margen B'!H176</f>
        <v>0</v>
      </c>
      <c r="I138" s="897">
        <f>'Margen B'!I176</f>
        <v>0</v>
      </c>
      <c r="J138" s="897">
        <f>'Margen B'!J176</f>
        <v>0</v>
      </c>
      <c r="K138" s="897">
        <f>'Margen B'!K176</f>
        <v>0</v>
      </c>
      <c r="L138" s="897">
        <f>'Margen B'!L176</f>
        <v>0</v>
      </c>
      <c r="M138" s="897">
        <f>'Margen B'!M176</f>
        <v>0</v>
      </c>
      <c r="N138" s="897">
        <f>'Margen B'!N176</f>
        <v>0</v>
      </c>
      <c r="O138" s="897">
        <f>'Margen B'!O176</f>
        <v>0</v>
      </c>
      <c r="P138" s="647"/>
      <c r="Q138" s="1197">
        <f t="shared" si="16"/>
        <v>0</v>
      </c>
      <c r="R138" s="624"/>
      <c r="S138" s="624"/>
      <c r="T138" s="624"/>
      <c r="U138" s="624"/>
    </row>
    <row r="139" spans="2:21" ht="25.5" x14ac:dyDescent="0.2">
      <c r="B139" s="560"/>
      <c r="C139" s="978" t="s">
        <v>136</v>
      </c>
      <c r="D139" s="897">
        <f>'Margen B'!D186</f>
        <v>0</v>
      </c>
      <c r="E139" s="897">
        <f>'Margen B'!E186</f>
        <v>0</v>
      </c>
      <c r="F139" s="897">
        <f>'Margen B'!F186</f>
        <v>0</v>
      </c>
      <c r="G139" s="897">
        <f>'Margen B'!G186</f>
        <v>0</v>
      </c>
      <c r="H139" s="897">
        <f>'Margen B'!H186</f>
        <v>0</v>
      </c>
      <c r="I139" s="897">
        <f>'Margen B'!I186</f>
        <v>0</v>
      </c>
      <c r="J139" s="897">
        <f>'Margen B'!J186</f>
        <v>0</v>
      </c>
      <c r="K139" s="897">
        <f>'Margen B'!K186</f>
        <v>0</v>
      </c>
      <c r="L139" s="897">
        <f>'Margen B'!L186</f>
        <v>0</v>
      </c>
      <c r="M139" s="897">
        <f>'Margen B'!M186</f>
        <v>0</v>
      </c>
      <c r="N139" s="897">
        <f>'Margen B'!N186</f>
        <v>0</v>
      </c>
      <c r="O139" s="897">
        <f>'Margen B'!O186</f>
        <v>0</v>
      </c>
      <c r="P139" s="979"/>
      <c r="Q139" s="672">
        <f t="shared" si="16"/>
        <v>0</v>
      </c>
      <c r="R139" s="624"/>
      <c r="S139" s="624"/>
      <c r="T139" s="624"/>
      <c r="U139" s="624"/>
    </row>
    <row r="140" spans="2:21" s="75" customFormat="1" ht="15" customHeight="1" x14ac:dyDescent="0.25">
      <c r="B140" s="861" t="str">
        <f>B60</f>
        <v>Total Aprovisionamientos</v>
      </c>
      <c r="C140" s="876"/>
      <c r="D140" s="910">
        <f>SUM(D137:D139)+D134</f>
        <v>0</v>
      </c>
      <c r="E140" s="910">
        <f t="shared" ref="E140:O140" si="17">SUM(E137:E139)+E134</f>
        <v>0</v>
      </c>
      <c r="F140" s="910">
        <f t="shared" si="17"/>
        <v>0</v>
      </c>
      <c r="G140" s="910">
        <f t="shared" si="17"/>
        <v>0</v>
      </c>
      <c r="H140" s="910">
        <f t="shared" si="17"/>
        <v>0</v>
      </c>
      <c r="I140" s="910">
        <f t="shared" si="17"/>
        <v>0</v>
      </c>
      <c r="J140" s="910">
        <f t="shared" si="17"/>
        <v>0</v>
      </c>
      <c r="K140" s="910">
        <f t="shared" si="17"/>
        <v>0</v>
      </c>
      <c r="L140" s="910">
        <f t="shared" si="17"/>
        <v>0</v>
      </c>
      <c r="M140" s="910">
        <f t="shared" si="17"/>
        <v>0</v>
      </c>
      <c r="N140" s="910">
        <f t="shared" si="17"/>
        <v>0</v>
      </c>
      <c r="O140" s="910">
        <f t="shared" si="17"/>
        <v>0</v>
      </c>
      <c r="P140" s="870"/>
      <c r="Q140" s="871">
        <f t="shared" si="16"/>
        <v>0</v>
      </c>
      <c r="R140" s="759"/>
      <c r="S140" s="624"/>
      <c r="T140" s="759"/>
      <c r="U140" s="759"/>
    </row>
    <row r="141" spans="2:21" x14ac:dyDescent="0.2">
      <c r="B141" s="632" t="str">
        <f>B61</f>
        <v>Otros ingresos de explotación</v>
      </c>
      <c r="C141" s="150"/>
      <c r="D141" s="290"/>
      <c r="E141" s="290"/>
      <c r="F141" s="290"/>
      <c r="G141" s="290"/>
      <c r="H141" s="290"/>
      <c r="I141" s="290"/>
      <c r="J141" s="290"/>
      <c r="K141" s="290"/>
      <c r="L141" s="290"/>
      <c r="M141" s="290"/>
      <c r="N141" s="290"/>
      <c r="O141" s="290"/>
      <c r="P141" s="161"/>
      <c r="Q141" s="645">
        <f>SUM(D141:P141)</f>
        <v>0</v>
      </c>
      <c r="S141" s="58"/>
    </row>
    <row r="142" spans="2:21" x14ac:dyDescent="0.2">
      <c r="B142" s="210"/>
      <c r="C142" s="1"/>
      <c r="D142" s="916"/>
      <c r="E142" s="799"/>
      <c r="F142" s="799"/>
      <c r="G142" s="799"/>
      <c r="H142" s="799"/>
      <c r="I142" s="799"/>
      <c r="J142" s="799"/>
      <c r="K142" s="799"/>
      <c r="L142" s="799"/>
      <c r="M142" s="799"/>
      <c r="N142" s="799"/>
      <c r="O142" s="799"/>
      <c r="P142" s="779"/>
      <c r="Q142" s="800"/>
      <c r="R142" s="624"/>
      <c r="S142" s="624"/>
      <c r="T142" s="624"/>
      <c r="U142" s="624"/>
    </row>
    <row r="143" spans="2:21" ht="15.75" x14ac:dyDescent="0.25">
      <c r="B143" s="861" t="str">
        <f>B63</f>
        <v>Margen Bruto s/Ventas</v>
      </c>
      <c r="C143" s="852"/>
      <c r="D143" s="910">
        <f t="shared" ref="D143:O143" si="18">+D133+D134-D140+D141</f>
        <v>0</v>
      </c>
      <c r="E143" s="869">
        <f t="shared" si="18"/>
        <v>0</v>
      </c>
      <c r="F143" s="869">
        <f t="shared" si="18"/>
        <v>0</v>
      </c>
      <c r="G143" s="869">
        <f t="shared" si="18"/>
        <v>0</v>
      </c>
      <c r="H143" s="869">
        <f t="shared" si="18"/>
        <v>0</v>
      </c>
      <c r="I143" s="869">
        <f t="shared" si="18"/>
        <v>0</v>
      </c>
      <c r="J143" s="869">
        <f t="shared" si="18"/>
        <v>0</v>
      </c>
      <c r="K143" s="869">
        <f t="shared" si="18"/>
        <v>0</v>
      </c>
      <c r="L143" s="869">
        <f t="shared" si="18"/>
        <v>0</v>
      </c>
      <c r="M143" s="869">
        <f t="shared" si="18"/>
        <v>0</v>
      </c>
      <c r="N143" s="869">
        <f t="shared" si="18"/>
        <v>0</v>
      </c>
      <c r="O143" s="869">
        <f t="shared" si="18"/>
        <v>0</v>
      </c>
      <c r="P143" s="869"/>
      <c r="Q143" s="1043">
        <f t="shared" si="16"/>
        <v>0</v>
      </c>
      <c r="R143" s="624"/>
      <c r="S143" s="624"/>
      <c r="T143" s="624"/>
      <c r="U143" s="624"/>
    </row>
    <row r="144" spans="2:21" ht="6" customHeight="1" x14ac:dyDescent="0.25">
      <c r="B144" s="562"/>
      <c r="C144" s="75"/>
      <c r="D144" s="900"/>
      <c r="E144" s="677"/>
      <c r="F144" s="677"/>
      <c r="G144" s="677"/>
      <c r="H144" s="677"/>
      <c r="I144" s="677"/>
      <c r="J144" s="677"/>
      <c r="K144" s="677"/>
      <c r="L144" s="677"/>
      <c r="M144" s="677"/>
      <c r="N144" s="677"/>
      <c r="O144" s="677"/>
      <c r="P144" s="784"/>
      <c r="Q144" s="793"/>
      <c r="R144" s="624"/>
      <c r="S144" s="624"/>
      <c r="T144" s="624"/>
      <c r="U144" s="624"/>
    </row>
    <row r="145" spans="2:21" x14ac:dyDescent="0.2">
      <c r="B145" s="210" t="str">
        <f>B65</f>
        <v>Gastos de personal:</v>
      </c>
      <c r="D145" s="901"/>
      <c r="E145" s="624"/>
      <c r="F145" s="624"/>
      <c r="G145" s="624"/>
      <c r="H145" s="624"/>
      <c r="I145" s="624"/>
      <c r="J145" s="624"/>
      <c r="K145" s="624"/>
      <c r="L145" s="624"/>
      <c r="M145" s="624"/>
      <c r="N145" s="624"/>
      <c r="O145" s="624"/>
      <c r="P145" s="781"/>
      <c r="Q145" s="793"/>
      <c r="R145" s="624"/>
      <c r="S145" s="624"/>
      <c r="T145" s="624"/>
      <c r="U145" s="624"/>
    </row>
    <row r="146" spans="2:21" x14ac:dyDescent="0.2">
      <c r="B146" s="296"/>
      <c r="C146" s="150" t="str">
        <f t="shared" ref="C146:C151" si="19">C66</f>
        <v>Formación del personal</v>
      </c>
      <c r="D146" s="902">
        <f>'Previsión de Gastos'!C13+('Previsión de Gastos'!C13*'Previsión de Gastos'!$P13)</f>
        <v>0</v>
      </c>
      <c r="E146" s="299">
        <f>'Previsión de Gastos'!D13+('Previsión de Gastos'!D13*'Previsión de Gastos'!$P13)</f>
        <v>0</v>
      </c>
      <c r="F146" s="299">
        <f>'Previsión de Gastos'!E13+('Previsión de Gastos'!E13*'Previsión de Gastos'!$P13)</f>
        <v>0</v>
      </c>
      <c r="G146" s="299">
        <f>'Previsión de Gastos'!F13+('Previsión de Gastos'!F13*'Previsión de Gastos'!$P13)</f>
        <v>0</v>
      </c>
      <c r="H146" s="299">
        <f>'Previsión de Gastos'!G13+('Previsión de Gastos'!G13*'Previsión de Gastos'!$P13)</f>
        <v>0</v>
      </c>
      <c r="I146" s="299">
        <f>'Previsión de Gastos'!H13+('Previsión de Gastos'!H13*'Previsión de Gastos'!$P13)</f>
        <v>0</v>
      </c>
      <c r="J146" s="299">
        <f>'Previsión de Gastos'!I13+('Previsión de Gastos'!I13*'Previsión de Gastos'!$P13)</f>
        <v>0</v>
      </c>
      <c r="K146" s="299">
        <f>'Previsión de Gastos'!J13+('Previsión de Gastos'!J13*'Previsión de Gastos'!$P13)</f>
        <v>0</v>
      </c>
      <c r="L146" s="299">
        <f>'Previsión de Gastos'!K13+('Previsión de Gastos'!K13*'Previsión de Gastos'!$P13)</f>
        <v>0</v>
      </c>
      <c r="M146" s="299">
        <f>'Previsión de Gastos'!L13+('Previsión de Gastos'!L13*'Previsión de Gastos'!$P13)</f>
        <v>0</v>
      </c>
      <c r="N146" s="299">
        <f>'Previsión de Gastos'!M13+('Previsión de Gastos'!M13*'Previsión de Gastos'!$P13)</f>
        <v>0</v>
      </c>
      <c r="O146" s="299">
        <f>'Previsión de Gastos'!N13+('Previsión de Gastos'!N13*'Previsión de Gastos'!$P13)</f>
        <v>0</v>
      </c>
      <c r="P146" s="638"/>
      <c r="Q146" s="1194">
        <f t="shared" si="16"/>
        <v>0</v>
      </c>
      <c r="S146" s="58"/>
    </row>
    <row r="147" spans="2:21" x14ac:dyDescent="0.2">
      <c r="B147" s="296"/>
      <c r="C147" s="150" t="str">
        <f t="shared" si="19"/>
        <v>Promotor  (Sueldo + S.S.)</v>
      </c>
      <c r="D147" s="786">
        <f>IF('Previsión de Gastos'!$T$14&gt;'Datos generales'!E$1+12,0,'Previsión de Gastos'!C14+('Previsión de Gastos'!C14*'Previsión de Gastos'!$P14))</f>
        <v>0</v>
      </c>
      <c r="E147" s="786">
        <f>IF('Previsión de Gastos'!$T$14&gt;'Datos generales'!F$1+12,0,'Previsión de Gastos'!D14+('Previsión de Gastos'!D14*'Previsión de Gastos'!$P14))</f>
        <v>0</v>
      </c>
      <c r="F147" s="786">
        <f>IF('Previsión de Gastos'!$T$14&gt;'Datos generales'!G$1+12,0,'Previsión de Gastos'!E14+('Previsión de Gastos'!E14*'Previsión de Gastos'!$P14))</f>
        <v>0</v>
      </c>
      <c r="G147" s="786">
        <f>IF('Previsión de Gastos'!$T$14&gt;'Datos generales'!H$1+12,0,'Previsión de Gastos'!F14+('Previsión de Gastos'!F14*'Previsión de Gastos'!$P14))</f>
        <v>0</v>
      </c>
      <c r="H147" s="786">
        <f>IF('Previsión de Gastos'!$T$14&gt;'Datos generales'!I$1+12,0,'Previsión de Gastos'!G14+('Previsión de Gastos'!G14*'Previsión de Gastos'!$P14))</f>
        <v>0</v>
      </c>
      <c r="I147" s="786">
        <f>IF('Previsión de Gastos'!$T$14&gt;'Datos generales'!J$1+12,0,'Previsión de Gastos'!H14+('Previsión de Gastos'!H14*'Previsión de Gastos'!$P14))</f>
        <v>0</v>
      </c>
      <c r="J147" s="786">
        <f>IF('Previsión de Gastos'!$T$14&gt;'Datos generales'!K$1+12,0,'Previsión de Gastos'!I14+('Previsión de Gastos'!I14*'Previsión de Gastos'!$P14))</f>
        <v>0</v>
      </c>
      <c r="K147" s="786">
        <f>IF('Previsión de Gastos'!$T$14&gt;'Datos generales'!L$1+12,0,'Previsión de Gastos'!J14+('Previsión de Gastos'!J14*'Previsión de Gastos'!$P14))</f>
        <v>0</v>
      </c>
      <c r="L147" s="786">
        <f>IF('Previsión de Gastos'!$T$14&gt;'Datos generales'!M$1+12,0,'Previsión de Gastos'!K14+('Previsión de Gastos'!K14*'Previsión de Gastos'!$P14))</f>
        <v>0</v>
      </c>
      <c r="M147" s="786">
        <f>IF('Previsión de Gastos'!$T$14&gt;'Datos generales'!N$1+12,0,'Previsión de Gastos'!L14+('Previsión de Gastos'!L14*'Previsión de Gastos'!$P14))</f>
        <v>0</v>
      </c>
      <c r="N147" s="786">
        <f>IF('Previsión de Gastos'!$T$14&gt;'Datos generales'!O$1+12,0,'Previsión de Gastos'!M14+('Previsión de Gastos'!M14*'Previsión de Gastos'!$P14))</f>
        <v>0</v>
      </c>
      <c r="O147" s="786">
        <f>IF('Previsión de Gastos'!$T$14&gt;'Datos generales'!P$1+12,0,'Previsión de Gastos'!N14+('Previsión de Gastos'!N14*'Previsión de Gastos'!$P14))</f>
        <v>0</v>
      </c>
      <c r="P147" s="647"/>
      <c r="Q147" s="920">
        <f t="shared" si="16"/>
        <v>0</v>
      </c>
      <c r="R147" s="624"/>
      <c r="S147" s="624"/>
      <c r="T147" s="624"/>
      <c r="U147" s="624"/>
    </row>
    <row r="148" spans="2:21" x14ac:dyDescent="0.2">
      <c r="B148" s="296"/>
      <c r="C148" s="150" t="str">
        <f t="shared" si="19"/>
        <v>Asalariado (Sueldo + S.S.)</v>
      </c>
      <c r="D148" s="903">
        <f>IF('Previsión de Gastos'!$T$15&gt;'Datos generales'!E$1+12,0,'Previsión de Gastos'!D15+('Previsión de Gastos'!D15*'Previsión de Gastos'!$P15))</f>
        <v>0</v>
      </c>
      <c r="E148" s="786">
        <f>IF('Previsión de Gastos'!$T$15&gt;'Datos generales'!F$1+12,0,'Previsión de Gastos'!D15+('Previsión de Gastos'!D15*'Previsión de Gastos'!$P15))</f>
        <v>0</v>
      </c>
      <c r="F148" s="786">
        <f>IF('Previsión de Gastos'!$T$15&gt;'Datos generales'!G$1+12,0,'Previsión de Gastos'!E15+('Previsión de Gastos'!E15*'Previsión de Gastos'!$P15))</f>
        <v>0</v>
      </c>
      <c r="G148" s="786">
        <f>IF('Previsión de Gastos'!$T$15&gt;'Datos generales'!H$1+12,0,'Previsión de Gastos'!F15+('Previsión de Gastos'!F15*'Previsión de Gastos'!$P15))</f>
        <v>0</v>
      </c>
      <c r="H148" s="786">
        <f>IF('Previsión de Gastos'!$T$15&gt;'Datos generales'!I$1+12,0,'Previsión de Gastos'!G15+('Previsión de Gastos'!G15*'Previsión de Gastos'!$P15))</f>
        <v>0</v>
      </c>
      <c r="I148" s="786">
        <f>IF('Previsión de Gastos'!$T$15&gt;'Datos generales'!J$1+12,0,'Previsión de Gastos'!H15+('Previsión de Gastos'!H15*'Previsión de Gastos'!$P15))</f>
        <v>0</v>
      </c>
      <c r="J148" s="786">
        <f>IF('Previsión de Gastos'!$T$15&gt;'Datos generales'!K$1+12,0,'Previsión de Gastos'!I15+('Previsión de Gastos'!I15*'Previsión de Gastos'!$P15))</f>
        <v>0</v>
      </c>
      <c r="K148" s="786">
        <f>IF('Previsión de Gastos'!$T$15&gt;'Datos generales'!L$1+12,0,'Previsión de Gastos'!J15+('Previsión de Gastos'!J15*'Previsión de Gastos'!$P15))</f>
        <v>0</v>
      </c>
      <c r="L148" s="786">
        <f>IF('Previsión de Gastos'!$T$15&gt;'Datos generales'!M$1+12,0,'Previsión de Gastos'!K15+('Previsión de Gastos'!K15*'Previsión de Gastos'!$P15))</f>
        <v>0</v>
      </c>
      <c r="M148" s="786">
        <f>IF('Previsión de Gastos'!$T$15&gt;'Datos generales'!N$1+12,0,'Previsión de Gastos'!L15+('Previsión de Gastos'!L15*'Previsión de Gastos'!$P15))</f>
        <v>0</v>
      </c>
      <c r="N148" s="786">
        <f>IF('Previsión de Gastos'!$T$15&gt;'Datos generales'!O$1+12,0,'Previsión de Gastos'!M15+('Previsión de Gastos'!M15*'Previsión de Gastos'!$P15))</f>
        <v>0</v>
      </c>
      <c r="O148" s="786">
        <f>IF('Previsión de Gastos'!$T$15&gt;'Datos generales'!P$1+12,0,'Previsión de Gastos'!N15+('Previsión de Gastos'!N15*'Previsión de Gastos'!$P15))</f>
        <v>0</v>
      </c>
      <c r="P148" s="637"/>
      <c r="Q148" s="1193">
        <f t="shared" si="16"/>
        <v>0</v>
      </c>
      <c r="S148" s="58"/>
    </row>
    <row r="149" spans="2:21" x14ac:dyDescent="0.2">
      <c r="B149" s="296"/>
      <c r="C149" s="150">
        <f t="shared" si="19"/>
        <v>0</v>
      </c>
      <c r="D149" s="786">
        <f>IF('Previsión de Gastos'!$T$16&gt;'Datos generales'!E$1+12,0,'Previsión de Gastos'!D16+('Previsión de Gastos'!D16*'Previsión de Gastos'!$P16))</f>
        <v>0</v>
      </c>
      <c r="E149" s="786">
        <f>IF('Previsión de Gastos'!$T$16&gt;'Datos generales'!F$1+12,0,'Previsión de Gastos'!D16+('Previsión de Gastos'!D16*'Previsión de Gastos'!$P16))</f>
        <v>0</v>
      </c>
      <c r="F149" s="786">
        <f>IF('Previsión de Gastos'!$T$16&gt;'Datos generales'!G$1+12,0,'Previsión de Gastos'!E16+('Previsión de Gastos'!E16*'Previsión de Gastos'!$P16))</f>
        <v>0</v>
      </c>
      <c r="G149" s="786">
        <f>IF('Previsión de Gastos'!$T$16&gt;'Datos generales'!H$1+12,0,'Previsión de Gastos'!F16+('Previsión de Gastos'!F16*'Previsión de Gastos'!$P16))</f>
        <v>0</v>
      </c>
      <c r="H149" s="786">
        <f>IF('Previsión de Gastos'!$T$16&gt;'Datos generales'!I$1+12,0,'Previsión de Gastos'!G16+('Previsión de Gastos'!G16*'Previsión de Gastos'!$P16))</f>
        <v>0</v>
      </c>
      <c r="I149" s="786">
        <f>IF('Previsión de Gastos'!$T$16&gt;'Datos generales'!J$1+12,0,'Previsión de Gastos'!H16+('Previsión de Gastos'!H16*'Previsión de Gastos'!$P16))</f>
        <v>0</v>
      </c>
      <c r="J149" s="786">
        <f>IF('Previsión de Gastos'!$T$16&gt;'Datos generales'!K$1+12,0,'Previsión de Gastos'!I16+('Previsión de Gastos'!I16*'Previsión de Gastos'!$P16))</f>
        <v>0</v>
      </c>
      <c r="K149" s="786">
        <f>IF('Previsión de Gastos'!$T$16&gt;'Datos generales'!L$1+12,0,'Previsión de Gastos'!J16+('Previsión de Gastos'!J16*'Previsión de Gastos'!$P16))</f>
        <v>0</v>
      </c>
      <c r="L149" s="786">
        <f>IF('Previsión de Gastos'!$T$16&gt;'Datos generales'!M$1+12,0,'Previsión de Gastos'!K16+('Previsión de Gastos'!K16*'Previsión de Gastos'!$P16))</f>
        <v>0</v>
      </c>
      <c r="M149" s="786">
        <f>IF('Previsión de Gastos'!$T$16&gt;'Datos generales'!N$1+12,0,'Previsión de Gastos'!L16+('Previsión de Gastos'!L16*'Previsión de Gastos'!$P16))</f>
        <v>0</v>
      </c>
      <c r="N149" s="786">
        <f>IF('Previsión de Gastos'!$T$16&gt;'Datos generales'!O$1+12,0,'Previsión de Gastos'!M16+('Previsión de Gastos'!M16*'Previsión de Gastos'!$P16))</f>
        <v>0</v>
      </c>
      <c r="O149" s="786">
        <f>IF('Previsión de Gastos'!$T$16&gt;'Datos generales'!P$1+12,0,'Previsión de Gastos'!N16+('Previsión de Gastos'!N16*'Previsión de Gastos'!$P16))</f>
        <v>0</v>
      </c>
      <c r="P149" s="647"/>
      <c r="Q149" s="920">
        <f t="shared" si="16"/>
        <v>0</v>
      </c>
      <c r="R149" s="624"/>
      <c r="S149" s="624"/>
      <c r="T149" s="624"/>
      <c r="U149" s="624"/>
    </row>
    <row r="150" spans="2:21" x14ac:dyDescent="0.2">
      <c r="B150" s="296"/>
      <c r="C150" s="156">
        <f t="shared" si="19"/>
        <v>0</v>
      </c>
      <c r="D150" s="786">
        <f>IF('Previsión de Gastos'!$T$17&gt;'Datos generales'!E$1+12,0,'Previsión de Gastos'!C17+('Previsión de Gastos'!C17*'Previsión de Gastos'!$P17))</f>
        <v>0</v>
      </c>
      <c r="E150" s="786">
        <f>IF('Previsión de Gastos'!$T$17&gt;'Datos generales'!F$1+12,0,'Previsión de Gastos'!D17+('Previsión de Gastos'!D17*'Previsión de Gastos'!$P17))</f>
        <v>0</v>
      </c>
      <c r="F150" s="786">
        <f>IF('Previsión de Gastos'!$T$17&gt;'Datos generales'!G$1+12,0,'Previsión de Gastos'!E17+('Previsión de Gastos'!E17*'Previsión de Gastos'!$P17))</f>
        <v>0</v>
      </c>
      <c r="G150" s="786">
        <f>IF('Previsión de Gastos'!$T$17&gt;'Datos generales'!H$1+12,0,'Previsión de Gastos'!F17+('Previsión de Gastos'!F17*'Previsión de Gastos'!$P17))</f>
        <v>0</v>
      </c>
      <c r="H150" s="786">
        <f>IF('Previsión de Gastos'!$T$17&gt;'Datos generales'!I$1+12,0,'Previsión de Gastos'!G17+('Previsión de Gastos'!G17*'Previsión de Gastos'!$P17))</f>
        <v>0</v>
      </c>
      <c r="I150" s="786">
        <f>IF('Previsión de Gastos'!$T$17&gt;'Datos generales'!J$1+12,0,'Previsión de Gastos'!H17+('Previsión de Gastos'!H17*'Previsión de Gastos'!$P17))</f>
        <v>0</v>
      </c>
      <c r="J150" s="786">
        <f>IF('Previsión de Gastos'!$T$17&gt;'Datos generales'!K$1+12,0,'Previsión de Gastos'!I17+('Previsión de Gastos'!I17*'Previsión de Gastos'!$P17))</f>
        <v>0</v>
      </c>
      <c r="K150" s="786">
        <f>IF('Previsión de Gastos'!$T$17&gt;'Datos generales'!L$1+12,0,'Previsión de Gastos'!J17+('Previsión de Gastos'!J17*'Previsión de Gastos'!$P17))</f>
        <v>0</v>
      </c>
      <c r="L150" s="786">
        <f>IF('Previsión de Gastos'!$T$17&gt;'Datos generales'!M$1+12,0,'Previsión de Gastos'!K17+('Previsión de Gastos'!K17*'Previsión de Gastos'!$P17))</f>
        <v>0</v>
      </c>
      <c r="M150" s="786">
        <f>IF('Previsión de Gastos'!$T$17&gt;'Datos generales'!N$1+12,0,'Previsión de Gastos'!L17+('Previsión de Gastos'!L17*'Previsión de Gastos'!$P17))</f>
        <v>0</v>
      </c>
      <c r="N150" s="786">
        <f>IF('Previsión de Gastos'!$T$17&gt;'Datos generales'!O$1+12,0,'Previsión de Gastos'!M17+('Previsión de Gastos'!M17*'Previsión de Gastos'!$P17))</f>
        <v>0</v>
      </c>
      <c r="O150" s="786">
        <f>IF('Previsión de Gastos'!$T$17&gt;'Datos generales'!P$1+12,0,'Previsión de Gastos'!N17+('Previsión de Gastos'!N17*'Previsión de Gastos'!$P17))</f>
        <v>0</v>
      </c>
      <c r="P150" s="637"/>
      <c r="Q150" s="1193">
        <f t="shared" si="16"/>
        <v>0</v>
      </c>
      <c r="S150" s="58"/>
    </row>
    <row r="151" spans="2:21" x14ac:dyDescent="0.2">
      <c r="B151" s="296"/>
      <c r="C151">
        <f t="shared" si="19"/>
        <v>0</v>
      </c>
      <c r="D151" s="671">
        <f>IF('Previsión de Gastos'!$T$18&gt;'Datos generales'!E$1+12,0,'Previsión de Gastos'!C18+('Previsión de Gastos'!C18*'Previsión de Gastos'!$P18))</f>
        <v>0</v>
      </c>
      <c r="E151" s="671">
        <f>IF('Previsión de Gastos'!$T$18&gt;'Datos generales'!F$1+12,0,'Previsión de Gastos'!D18+('Previsión de Gastos'!D18*'Previsión de Gastos'!$P18))</f>
        <v>0</v>
      </c>
      <c r="F151" s="671">
        <f>IF('Previsión de Gastos'!$T$18&gt;'Datos generales'!G$1+12,0,'Previsión de Gastos'!E18+('Previsión de Gastos'!E18*'Previsión de Gastos'!$P18))</f>
        <v>0</v>
      </c>
      <c r="G151" s="671">
        <f>IF('Previsión de Gastos'!$T$18&gt;'Datos generales'!H$1+12,0,'Previsión de Gastos'!F18+('Previsión de Gastos'!F18*'Previsión de Gastos'!$P18))</f>
        <v>0</v>
      </c>
      <c r="H151" s="671">
        <f>IF('Previsión de Gastos'!$T$18&gt;'Datos generales'!I$1+12,0,'Previsión de Gastos'!G18+('Previsión de Gastos'!G18*'Previsión de Gastos'!$P18))</f>
        <v>0</v>
      </c>
      <c r="I151" s="671">
        <f>IF('Previsión de Gastos'!$T$18&gt;'Datos generales'!J$1+12,0,'Previsión de Gastos'!H18+('Previsión de Gastos'!H18*'Previsión de Gastos'!$P18))</f>
        <v>0</v>
      </c>
      <c r="J151" s="671">
        <f>IF('Previsión de Gastos'!$T$18&gt;'Datos generales'!K$1+12,0,'Previsión de Gastos'!I18+('Previsión de Gastos'!I18*'Previsión de Gastos'!$P18))</f>
        <v>0</v>
      </c>
      <c r="K151" s="671">
        <f>IF('Previsión de Gastos'!$T$18&gt;'Datos generales'!L$1+12,0,'Previsión de Gastos'!J18+('Previsión de Gastos'!J18*'Previsión de Gastos'!$P18))</f>
        <v>0</v>
      </c>
      <c r="L151" s="671">
        <f>IF('Previsión de Gastos'!$T$18&gt;'Datos generales'!M$1+12,0,'Previsión de Gastos'!K18+('Previsión de Gastos'!K18*'Previsión de Gastos'!$P18))</f>
        <v>0</v>
      </c>
      <c r="M151" s="671">
        <f>IF('Previsión de Gastos'!$T$18&gt;'Datos generales'!N$1+12,0,'Previsión de Gastos'!L18+('Previsión de Gastos'!L18*'Previsión de Gastos'!$P18))</f>
        <v>0</v>
      </c>
      <c r="N151" s="671">
        <f>IF('Previsión de Gastos'!$T$18&gt;'Datos generales'!O$1+12,0,'Previsión de Gastos'!M18+('Previsión de Gastos'!M18*'Previsión de Gastos'!$P18))</f>
        <v>0</v>
      </c>
      <c r="O151" s="671">
        <f>IF('Previsión de Gastos'!$T$18&gt;'Datos generales'!P$1+12,0,'Previsión de Gastos'!N18+('Previsión de Gastos'!N18*'Previsión de Gastos'!$P18))</f>
        <v>0</v>
      </c>
      <c r="P151" s="637"/>
      <c r="Q151" s="1193">
        <f t="shared" si="16"/>
        <v>0</v>
      </c>
      <c r="S151" s="58"/>
    </row>
    <row r="152" spans="2:21" s="1" customFormat="1" x14ac:dyDescent="0.2">
      <c r="B152" s="859" t="str">
        <f>B72</f>
        <v>Total Gastos de personal</v>
      </c>
      <c r="C152" s="476"/>
      <c r="D152" s="909">
        <f>SUM(D146:D151)</f>
        <v>0</v>
      </c>
      <c r="E152" s="865">
        <f t="shared" ref="E152:O152" si="20">SUM(E146:E151)</f>
        <v>0</v>
      </c>
      <c r="F152" s="865">
        <f t="shared" si="20"/>
        <v>0</v>
      </c>
      <c r="G152" s="865">
        <f t="shared" si="20"/>
        <v>0</v>
      </c>
      <c r="H152" s="865">
        <f t="shared" si="20"/>
        <v>0</v>
      </c>
      <c r="I152" s="865">
        <f t="shared" si="20"/>
        <v>0</v>
      </c>
      <c r="J152" s="865">
        <f t="shared" si="20"/>
        <v>0</v>
      </c>
      <c r="K152" s="865">
        <f t="shared" si="20"/>
        <v>0</v>
      </c>
      <c r="L152" s="865">
        <f t="shared" si="20"/>
        <v>0</v>
      </c>
      <c r="M152" s="865">
        <f t="shared" si="20"/>
        <v>0</v>
      </c>
      <c r="N152" s="865">
        <f t="shared" si="20"/>
        <v>0</v>
      </c>
      <c r="O152" s="865">
        <f t="shared" si="20"/>
        <v>0</v>
      </c>
      <c r="P152" s="646"/>
      <c r="Q152" s="866">
        <f t="shared" si="16"/>
        <v>0</v>
      </c>
      <c r="R152" s="626"/>
      <c r="S152" s="624"/>
      <c r="T152" s="626"/>
      <c r="U152" s="626"/>
    </row>
    <row r="153" spans="2:21" ht="5.25" customHeight="1" x14ac:dyDescent="0.2">
      <c r="B153" s="210"/>
      <c r="C153" s="1"/>
      <c r="D153" s="901"/>
      <c r="E153" s="624"/>
      <c r="F153" s="624"/>
      <c r="G153" s="624"/>
      <c r="H153" s="624"/>
      <c r="I153" s="624"/>
      <c r="J153" s="624"/>
      <c r="K153" s="624"/>
      <c r="L153" s="624"/>
      <c r="M153" s="624"/>
      <c r="N153" s="624"/>
      <c r="O153" s="624"/>
      <c r="P153" s="781"/>
      <c r="Q153" s="793"/>
      <c r="R153" s="624"/>
      <c r="S153" s="624"/>
      <c r="T153" s="624"/>
      <c r="U153" s="624"/>
    </row>
    <row r="154" spans="2:21" x14ac:dyDescent="0.2">
      <c r="B154" s="210" t="str">
        <f>B74</f>
        <v>Otros gastos de explotación</v>
      </c>
      <c r="C154" s="1"/>
      <c r="D154" s="901"/>
      <c r="E154" s="624"/>
      <c r="F154" s="624"/>
      <c r="G154" s="624"/>
      <c r="H154" s="624"/>
      <c r="I154" s="624"/>
      <c r="J154" s="624"/>
      <c r="K154" s="624"/>
      <c r="L154" s="624"/>
      <c r="M154" s="624"/>
      <c r="N154" s="624"/>
      <c r="O154" s="624"/>
      <c r="P154" s="781"/>
      <c r="Q154" s="793"/>
      <c r="R154" s="624"/>
      <c r="S154" s="624"/>
      <c r="T154" s="624"/>
      <c r="U154" s="624"/>
    </row>
    <row r="155" spans="2:21" ht="5.25" customHeight="1" x14ac:dyDescent="0.2">
      <c r="B155" s="210"/>
      <c r="C155" s="1"/>
      <c r="D155"/>
      <c r="P155" s="161"/>
      <c r="Q155" s="571"/>
      <c r="S155" s="58"/>
    </row>
    <row r="156" spans="2:21" x14ac:dyDescent="0.2">
      <c r="B156" s="296"/>
      <c r="C156" s="1" t="str">
        <f t="shared" ref="C156:C169" si="21">C76</f>
        <v>Tributos e impuestos:</v>
      </c>
      <c r="D156"/>
      <c r="P156" s="161"/>
      <c r="Q156" s="571"/>
      <c r="S156" s="58"/>
    </row>
    <row r="157" spans="2:21" x14ac:dyDescent="0.2">
      <c r="B157" s="296"/>
      <c r="C157" s="150" t="str">
        <f t="shared" si="21"/>
        <v>IBI</v>
      </c>
      <c r="D157" s="902">
        <f>'Previsión de Gastos'!C21+('Previsión de Gastos'!C21*'Previsión de Gastos'!$P21)</f>
        <v>0</v>
      </c>
      <c r="E157" s="299">
        <f>'Previsión de Gastos'!D21+('Previsión de Gastos'!D21*'Previsión de Gastos'!$P21)</f>
        <v>0</v>
      </c>
      <c r="F157" s="299">
        <f>'Previsión de Gastos'!E21+('Previsión de Gastos'!E21*'Previsión de Gastos'!$P21)</f>
        <v>0</v>
      </c>
      <c r="G157" s="299">
        <f>'Previsión de Gastos'!F21+('Previsión de Gastos'!F21*'Previsión de Gastos'!$P21)</f>
        <v>0</v>
      </c>
      <c r="H157" s="299">
        <f>'Previsión de Gastos'!G21+('Previsión de Gastos'!G21*'Previsión de Gastos'!$P21)</f>
        <v>0</v>
      </c>
      <c r="I157" s="299">
        <f>'Previsión de Gastos'!H21+('Previsión de Gastos'!H21*'Previsión de Gastos'!$P21)</f>
        <v>0</v>
      </c>
      <c r="J157" s="299">
        <f>'Previsión de Gastos'!I21+('Previsión de Gastos'!I21*'Previsión de Gastos'!$P21)</f>
        <v>0</v>
      </c>
      <c r="K157" s="299">
        <f>'Previsión de Gastos'!J21+('Previsión de Gastos'!J21*'Previsión de Gastos'!$P21)</f>
        <v>0</v>
      </c>
      <c r="L157" s="299">
        <f>'Previsión de Gastos'!K21+('Previsión de Gastos'!K21*'Previsión de Gastos'!$P21)</f>
        <v>0</v>
      </c>
      <c r="M157" s="299">
        <f>'Previsión de Gastos'!L21+('Previsión de Gastos'!L21*'Previsión de Gastos'!$P21)</f>
        <v>0</v>
      </c>
      <c r="N157" s="299">
        <f>'Previsión de Gastos'!M21+('Previsión de Gastos'!M21*'Previsión de Gastos'!$P21)</f>
        <v>0</v>
      </c>
      <c r="O157" s="299">
        <f>'Previsión de Gastos'!N21+('Previsión de Gastos'!N21*'Previsión de Gastos'!$P21)</f>
        <v>0</v>
      </c>
      <c r="P157" s="638"/>
      <c r="Q157" s="1194">
        <f t="shared" si="16"/>
        <v>0</v>
      </c>
      <c r="S157" s="58"/>
    </row>
    <row r="158" spans="2:21" x14ac:dyDescent="0.2">
      <c r="B158" s="296"/>
      <c r="C158" s="156" t="str">
        <f t="shared" si="21"/>
        <v xml:space="preserve">Impuesto de vehículos de tracción mecánica </v>
      </c>
      <c r="D158" s="905">
        <f>'Previsión de Gastos'!C22+('Previsión de Gastos'!C22*'Previsión de Gastos'!$P22)</f>
        <v>0</v>
      </c>
      <c r="E158" s="289">
        <f>'Previsión de Gastos'!D22+('Previsión de Gastos'!D22*'Previsión de Gastos'!$P22)</f>
        <v>0</v>
      </c>
      <c r="F158" s="289">
        <f>'Previsión de Gastos'!E22+('Previsión de Gastos'!E22*'Previsión de Gastos'!$P22)</f>
        <v>0</v>
      </c>
      <c r="G158" s="289">
        <f>'Previsión de Gastos'!F22+('Previsión de Gastos'!F22*'Previsión de Gastos'!$P22)</f>
        <v>0</v>
      </c>
      <c r="H158" s="289">
        <f>'Previsión de Gastos'!G22+('Previsión de Gastos'!G22*'Previsión de Gastos'!$P22)</f>
        <v>0</v>
      </c>
      <c r="I158" s="289">
        <f>'Previsión de Gastos'!H22+('Previsión de Gastos'!H22*'Previsión de Gastos'!$P22)</f>
        <v>0</v>
      </c>
      <c r="J158" s="289">
        <f>'Previsión de Gastos'!I22+('Previsión de Gastos'!I22*'Previsión de Gastos'!$P22)</f>
        <v>0</v>
      </c>
      <c r="K158" s="289">
        <f>'Previsión de Gastos'!J22+('Previsión de Gastos'!J22*'Previsión de Gastos'!$P22)</f>
        <v>0</v>
      </c>
      <c r="L158" s="289">
        <f>'Previsión de Gastos'!K22+('Previsión de Gastos'!K22*'Previsión de Gastos'!$P22)</f>
        <v>0</v>
      </c>
      <c r="M158" s="289">
        <f>'Previsión de Gastos'!L22+('Previsión de Gastos'!L22*'Previsión de Gastos'!$P22)</f>
        <v>0</v>
      </c>
      <c r="N158" s="289">
        <f>'Previsión de Gastos'!M22+('Previsión de Gastos'!M22*'Previsión de Gastos'!$P22)</f>
        <v>0</v>
      </c>
      <c r="O158" s="289">
        <f>'Previsión de Gastos'!N22+('Previsión de Gastos'!N22*'Previsión de Gastos'!$P22)</f>
        <v>0</v>
      </c>
      <c r="P158" s="637"/>
      <c r="Q158" s="1193">
        <f t="shared" si="16"/>
        <v>0</v>
      </c>
      <c r="S158" s="58"/>
    </row>
    <row r="159" spans="2:21" x14ac:dyDescent="0.2">
      <c r="B159" s="296"/>
      <c r="C159" s="156" t="str">
        <f t="shared" si="21"/>
        <v>Impuestos</v>
      </c>
      <c r="D159" s="905">
        <f>'Previsión de Gastos'!C23+('Previsión de Gastos'!C23*'Previsión de Gastos'!$P23)</f>
        <v>0</v>
      </c>
      <c r="E159" s="289">
        <f>'Previsión de Gastos'!D23+('Previsión de Gastos'!D23*'Previsión de Gastos'!$P23)</f>
        <v>0</v>
      </c>
      <c r="F159" s="289">
        <f>'Previsión de Gastos'!E23+('Previsión de Gastos'!E23*'Previsión de Gastos'!$P23)</f>
        <v>0</v>
      </c>
      <c r="G159" s="289">
        <f>'Previsión de Gastos'!F23+('Previsión de Gastos'!F23*'Previsión de Gastos'!$P23)</f>
        <v>0</v>
      </c>
      <c r="H159" s="289">
        <f>'Previsión de Gastos'!G23+('Previsión de Gastos'!G23*'Previsión de Gastos'!$P23)</f>
        <v>0</v>
      </c>
      <c r="I159" s="289">
        <f>'Previsión de Gastos'!H23+('Previsión de Gastos'!H23*'Previsión de Gastos'!$P23)</f>
        <v>0</v>
      </c>
      <c r="J159" s="289">
        <f>'Previsión de Gastos'!I23+('Previsión de Gastos'!I23*'Previsión de Gastos'!$P23)</f>
        <v>0</v>
      </c>
      <c r="K159" s="289">
        <f>'Previsión de Gastos'!J23+('Previsión de Gastos'!J23*'Previsión de Gastos'!$P23)</f>
        <v>0</v>
      </c>
      <c r="L159" s="289">
        <f>'Previsión de Gastos'!K23+('Previsión de Gastos'!K23*'Previsión de Gastos'!$P23)</f>
        <v>0</v>
      </c>
      <c r="M159" s="289">
        <f>'Previsión de Gastos'!L23+('Previsión de Gastos'!L23*'Previsión de Gastos'!$P23)</f>
        <v>0</v>
      </c>
      <c r="N159" s="289">
        <f>'Previsión de Gastos'!M23+('Previsión de Gastos'!M23*'Previsión de Gastos'!$P23)</f>
        <v>0</v>
      </c>
      <c r="O159" s="289">
        <f>'Previsión de Gastos'!N23+('Previsión de Gastos'!N23*'Previsión de Gastos'!$P23)</f>
        <v>0</v>
      </c>
      <c r="P159" s="637"/>
      <c r="Q159" s="1193">
        <f t="shared" si="16"/>
        <v>0</v>
      </c>
      <c r="S159" s="58"/>
    </row>
    <row r="160" spans="2:21" s="58" customFormat="1" x14ac:dyDescent="0.2">
      <c r="B160" s="617"/>
      <c r="C160" s="302" t="str">
        <f t="shared" si="21"/>
        <v>IVA soportado s/inversiones(*)</v>
      </c>
      <c r="D160" s="302">
        <f ca="1">IF('Datos generales'!$D$22&lt;=0,OFFSET('Préstamos LP'!$X$47,'Datos generales'!D1,0,1,1),0)</f>
        <v>0</v>
      </c>
      <c r="E160" s="302">
        <f ca="1">IF('Datos generales'!$D$22&lt;=0,OFFSET('Préstamos LP'!$X$47,'Datos generales'!E1,0,1,1),0)</f>
        <v>0</v>
      </c>
      <c r="F160" s="302">
        <f ca="1">IF('Datos generales'!$D$22&lt;=0,OFFSET('Préstamos LP'!$X$47,'Datos generales'!F1,0,1,1),0)</f>
        <v>0</v>
      </c>
      <c r="G160" s="302">
        <f ca="1">IF('Datos generales'!$D$22&lt;=0,OFFSET('Préstamos LP'!$X$47,'Datos generales'!G1,0,1,1),0)</f>
        <v>0</v>
      </c>
      <c r="H160" s="302">
        <f ca="1">IF('Datos generales'!$D$22&lt;=0,OFFSET('Préstamos LP'!$X$47,'Datos generales'!H1,0,1,1),0)</f>
        <v>0</v>
      </c>
      <c r="I160" s="302">
        <f ca="1">IF('Datos generales'!$D$22&lt;=0,OFFSET('Préstamos LP'!$X$47,'Datos generales'!I1,0,1,1),0)</f>
        <v>0</v>
      </c>
      <c r="J160" s="302">
        <f ca="1">IF('Datos generales'!$D$22&lt;=0,OFFSET('Préstamos LP'!$X$47,'Datos generales'!J1,0,1,1),0)</f>
        <v>0</v>
      </c>
      <c r="K160" s="302">
        <f ca="1">IF('Datos generales'!$D$22&lt;=0,OFFSET('Préstamos LP'!$X$47,'Datos generales'!K1,0,1,1),0)</f>
        <v>0</v>
      </c>
      <c r="L160" s="302">
        <f ca="1">IF('Datos generales'!$D$22&lt;=0,OFFSET('Préstamos LP'!$X$47,'Datos generales'!L1,0,1,1),0)</f>
        <v>0</v>
      </c>
      <c r="M160" s="302">
        <f ca="1">IF('Datos generales'!$D$22&lt;=0,OFFSET('Préstamos LP'!$X$47,'Datos generales'!M1,0,1,1),0)</f>
        <v>0</v>
      </c>
      <c r="N160" s="302">
        <f ca="1">IF('Datos generales'!$D$22&lt;=0,OFFSET('Préstamos LP'!$X$47,'Datos generales'!N1,0,1,1),0)</f>
        <v>0</v>
      </c>
      <c r="O160" s="302">
        <f ca="1">IF('Datos generales'!$D$22&lt;=0,OFFSET('Préstamos LP'!$X$47,'Datos generales'!O1,0,1,1),0)</f>
        <v>0</v>
      </c>
      <c r="P160" s="863">
        <f>IF('Datos generales'!$D$22&lt;=0,'Datos generales'!D19*('Entrada Inver_Finan'!G63-'Préstamos LP'!J13),0)</f>
        <v>0</v>
      </c>
      <c r="Q160" s="1193">
        <f t="shared" ca="1" si="16"/>
        <v>0</v>
      </c>
    </row>
    <row r="161" spans="2:21" x14ac:dyDescent="0.2">
      <c r="B161" s="296"/>
      <c r="C161" s="476" t="str">
        <f t="shared" si="21"/>
        <v>Total Tributos e impuestos</v>
      </c>
      <c r="D161" s="906">
        <f t="shared" ref="D161:P161" ca="1" si="22">SUM(D157:D160)</f>
        <v>0</v>
      </c>
      <c r="E161" s="201">
        <f t="shared" ca="1" si="22"/>
        <v>0</v>
      </c>
      <c r="F161" s="201">
        <f t="shared" ca="1" si="22"/>
        <v>0</v>
      </c>
      <c r="G161" s="201">
        <f t="shared" ca="1" si="22"/>
        <v>0</v>
      </c>
      <c r="H161" s="201">
        <f t="shared" ca="1" si="22"/>
        <v>0</v>
      </c>
      <c r="I161" s="201">
        <f t="shared" ca="1" si="22"/>
        <v>0</v>
      </c>
      <c r="J161" s="201">
        <f t="shared" ca="1" si="22"/>
        <v>0</v>
      </c>
      <c r="K161" s="201">
        <f t="shared" ca="1" si="22"/>
        <v>0</v>
      </c>
      <c r="L161" s="201">
        <f t="shared" ca="1" si="22"/>
        <v>0</v>
      </c>
      <c r="M161" s="201">
        <f t="shared" ca="1" si="22"/>
        <v>0</v>
      </c>
      <c r="N161" s="201">
        <f t="shared" ca="1" si="22"/>
        <v>0</v>
      </c>
      <c r="O161" s="201">
        <f t="shared" ca="1" si="22"/>
        <v>0</v>
      </c>
      <c r="P161" s="201">
        <f t="shared" si="22"/>
        <v>0</v>
      </c>
      <c r="Q161" s="877">
        <f t="shared" ca="1" si="16"/>
        <v>0</v>
      </c>
      <c r="S161" s="58"/>
    </row>
    <row r="162" spans="2:21" x14ac:dyDescent="0.2">
      <c r="B162" s="296"/>
      <c r="C162" s="1" t="str">
        <f t="shared" si="21"/>
        <v>Gastos comerciales:</v>
      </c>
      <c r="P162" s="161"/>
      <c r="Q162" s="571"/>
      <c r="S162" s="58"/>
    </row>
    <row r="163" spans="2:21" x14ac:dyDescent="0.2">
      <c r="B163" s="296"/>
      <c r="C163" s="150" t="str">
        <f t="shared" si="21"/>
        <v>Publicidad y propaganda</v>
      </c>
      <c r="D163" s="902">
        <f>'Previsión de Gastos'!C32+'Previsión de Gastos'!C32*'Previsión de Gastos'!$P32</f>
        <v>0</v>
      </c>
      <c r="E163" s="299">
        <f>'Previsión de Gastos'!D32+'Previsión de Gastos'!D32*'Previsión de Gastos'!$P32</f>
        <v>0</v>
      </c>
      <c r="F163" s="299">
        <f>'Previsión de Gastos'!E32+'Previsión de Gastos'!E32*'Previsión de Gastos'!$P32</f>
        <v>0</v>
      </c>
      <c r="G163" s="299">
        <f>'Previsión de Gastos'!F32+'Previsión de Gastos'!F32*'Previsión de Gastos'!$P32</f>
        <v>0</v>
      </c>
      <c r="H163" s="299">
        <f>'Previsión de Gastos'!G32+'Previsión de Gastos'!G32*'Previsión de Gastos'!$P32</f>
        <v>0</v>
      </c>
      <c r="I163" s="299">
        <f>'Previsión de Gastos'!H32+'Previsión de Gastos'!H32*'Previsión de Gastos'!$P32</f>
        <v>0</v>
      </c>
      <c r="J163" s="299">
        <f>'Previsión de Gastos'!I32+'Previsión de Gastos'!I32*'Previsión de Gastos'!$P32</f>
        <v>0</v>
      </c>
      <c r="K163" s="299">
        <f>'Previsión de Gastos'!J32+'Previsión de Gastos'!J32*'Previsión de Gastos'!$P32</f>
        <v>0</v>
      </c>
      <c r="L163" s="299">
        <f>'Previsión de Gastos'!K32+'Previsión de Gastos'!K32*'Previsión de Gastos'!$P32</f>
        <v>0</v>
      </c>
      <c r="M163" s="299">
        <f>'Previsión de Gastos'!L32+'Previsión de Gastos'!L32*'Previsión de Gastos'!$P32</f>
        <v>0</v>
      </c>
      <c r="N163" s="299">
        <f>'Previsión de Gastos'!M32+'Previsión de Gastos'!M32*'Previsión de Gastos'!$P32</f>
        <v>0</v>
      </c>
      <c r="O163" s="299">
        <f>'Previsión de Gastos'!N32+'Previsión de Gastos'!N32*'Previsión de Gastos'!$P32</f>
        <v>0</v>
      </c>
      <c r="P163" s="638"/>
      <c r="Q163" s="1194">
        <f t="shared" si="16"/>
        <v>0</v>
      </c>
      <c r="S163" s="58"/>
    </row>
    <row r="164" spans="2:21" x14ac:dyDescent="0.2">
      <c r="B164" s="296"/>
      <c r="C164" s="156">
        <f t="shared" si="21"/>
        <v>0</v>
      </c>
      <c r="D164" s="905">
        <f>'Previsión de Gastos'!C33+'Previsión de Gastos'!C33*'Previsión de Gastos'!$P33</f>
        <v>0</v>
      </c>
      <c r="E164" s="289">
        <f>'Previsión de Gastos'!D33+'Previsión de Gastos'!D33*'Previsión de Gastos'!$P33</f>
        <v>0</v>
      </c>
      <c r="F164" s="289">
        <f>'Previsión de Gastos'!E33+'Previsión de Gastos'!E33*'Previsión de Gastos'!$P33</f>
        <v>0</v>
      </c>
      <c r="G164" s="289">
        <f>'Previsión de Gastos'!F33+'Previsión de Gastos'!F33*'Previsión de Gastos'!$P33</f>
        <v>0</v>
      </c>
      <c r="H164" s="289">
        <f>'Previsión de Gastos'!G33+'Previsión de Gastos'!G33*'Previsión de Gastos'!$P33</f>
        <v>0</v>
      </c>
      <c r="I164" s="289">
        <f>'Previsión de Gastos'!H33+'Previsión de Gastos'!H33*'Previsión de Gastos'!$P33</f>
        <v>0</v>
      </c>
      <c r="J164" s="289">
        <f>'Previsión de Gastos'!I33+'Previsión de Gastos'!I33*'Previsión de Gastos'!$P33</f>
        <v>0</v>
      </c>
      <c r="K164" s="289">
        <f>'Previsión de Gastos'!J33+'Previsión de Gastos'!J33*'Previsión de Gastos'!$P33</f>
        <v>0</v>
      </c>
      <c r="L164" s="289">
        <f>'Previsión de Gastos'!K33+'Previsión de Gastos'!K33*'Previsión de Gastos'!$P33</f>
        <v>0</v>
      </c>
      <c r="M164" s="289">
        <f>'Previsión de Gastos'!L33+'Previsión de Gastos'!L33*'Previsión de Gastos'!$P33</f>
        <v>0</v>
      </c>
      <c r="N164" s="289">
        <f>'Previsión de Gastos'!M33+'Previsión de Gastos'!M33*'Previsión de Gastos'!$P33</f>
        <v>0</v>
      </c>
      <c r="O164" s="289">
        <f>'Previsión de Gastos'!N33+'Previsión de Gastos'!N33*'Previsión de Gastos'!$P33</f>
        <v>0</v>
      </c>
      <c r="P164" s="637"/>
      <c r="Q164" s="1193">
        <f t="shared" si="16"/>
        <v>0</v>
      </c>
      <c r="S164" s="58"/>
    </row>
    <row r="165" spans="2:21" x14ac:dyDescent="0.2">
      <c r="B165" s="296"/>
      <c r="C165" s="156">
        <f t="shared" si="21"/>
        <v>0</v>
      </c>
      <c r="D165" s="905">
        <f>'Previsión de Gastos'!C34+'Previsión de Gastos'!C34*'Previsión de Gastos'!$P34</f>
        <v>0</v>
      </c>
      <c r="E165" s="289">
        <f>'Previsión de Gastos'!D34+'Previsión de Gastos'!D34*'Previsión de Gastos'!$P34</f>
        <v>0</v>
      </c>
      <c r="F165" s="289">
        <f>'Previsión de Gastos'!E34+'Previsión de Gastos'!E34*'Previsión de Gastos'!$P34</f>
        <v>0</v>
      </c>
      <c r="G165" s="289">
        <f>'Previsión de Gastos'!F34+'Previsión de Gastos'!F34*'Previsión de Gastos'!$P34</f>
        <v>0</v>
      </c>
      <c r="H165" s="289">
        <f>'Previsión de Gastos'!G34+'Previsión de Gastos'!G34*'Previsión de Gastos'!$P34</f>
        <v>0</v>
      </c>
      <c r="I165" s="289">
        <f>'Previsión de Gastos'!H34+'Previsión de Gastos'!H34*'Previsión de Gastos'!$P34</f>
        <v>0</v>
      </c>
      <c r="J165" s="289">
        <f>'Previsión de Gastos'!I34+'Previsión de Gastos'!I34*'Previsión de Gastos'!$P34</f>
        <v>0</v>
      </c>
      <c r="K165" s="289">
        <f>'Previsión de Gastos'!J34+'Previsión de Gastos'!J34*'Previsión de Gastos'!$P34</f>
        <v>0</v>
      </c>
      <c r="L165" s="289">
        <f>'Previsión de Gastos'!K34+'Previsión de Gastos'!K34*'Previsión de Gastos'!$P34</f>
        <v>0</v>
      </c>
      <c r="M165" s="289">
        <f>'Previsión de Gastos'!L34+'Previsión de Gastos'!L34*'Previsión de Gastos'!$P34</f>
        <v>0</v>
      </c>
      <c r="N165" s="289">
        <f>'Previsión de Gastos'!M34+'Previsión de Gastos'!M34*'Previsión de Gastos'!$P34</f>
        <v>0</v>
      </c>
      <c r="O165" s="289">
        <f>'Previsión de Gastos'!N34+'Previsión de Gastos'!N34*'Previsión de Gastos'!$P34</f>
        <v>0</v>
      </c>
      <c r="P165" s="637"/>
      <c r="Q165" s="1193">
        <f t="shared" si="16"/>
        <v>0</v>
      </c>
      <c r="S165" s="58"/>
    </row>
    <row r="166" spans="2:21" s="1" customFormat="1" x14ac:dyDescent="0.2">
      <c r="B166" s="296"/>
      <c r="C166" s="300" t="str">
        <f t="shared" si="21"/>
        <v>Total</v>
      </c>
      <c r="D166" s="907">
        <f>SUM(D163:D165)</f>
        <v>0</v>
      </c>
      <c r="E166" s="295">
        <f t="shared" ref="E166:O166" si="23">SUM(E163:E165)</f>
        <v>0</v>
      </c>
      <c r="F166" s="295">
        <f t="shared" si="23"/>
        <v>0</v>
      </c>
      <c r="G166" s="295">
        <f t="shared" si="23"/>
        <v>0</v>
      </c>
      <c r="H166" s="295">
        <f t="shared" si="23"/>
        <v>0</v>
      </c>
      <c r="I166" s="295">
        <f t="shared" si="23"/>
        <v>0</v>
      </c>
      <c r="J166" s="295">
        <f t="shared" si="23"/>
        <v>0</v>
      </c>
      <c r="K166" s="295">
        <f t="shared" si="23"/>
        <v>0</v>
      </c>
      <c r="L166" s="295">
        <f t="shared" si="23"/>
        <v>0</v>
      </c>
      <c r="M166" s="295">
        <f t="shared" si="23"/>
        <v>0</v>
      </c>
      <c r="N166" s="295">
        <f t="shared" si="23"/>
        <v>0</v>
      </c>
      <c r="O166" s="295">
        <f t="shared" si="23"/>
        <v>0</v>
      </c>
      <c r="P166" s="639"/>
      <c r="Q166" s="363">
        <f t="shared" si="16"/>
        <v>0</v>
      </c>
      <c r="S166" s="58"/>
    </row>
    <row r="167" spans="2:21" x14ac:dyDescent="0.2">
      <c r="B167" s="296"/>
      <c r="C167" s="156" t="str">
        <f t="shared" si="21"/>
        <v>IVA soportado(*)</v>
      </c>
      <c r="D167" s="289">
        <f>IF('Datos generales'!$D$22&lt;=0,'Datos generales'!$D$19*D166,0)</f>
        <v>0</v>
      </c>
      <c r="E167" s="289">
        <f>IF('Datos generales'!$D$22&lt;=0,'Datos generales'!$D$19*E166,0)</f>
        <v>0</v>
      </c>
      <c r="F167" s="289">
        <f>IF('Datos generales'!$D$22&lt;=0,'Datos generales'!$D$19*F166,0)</f>
        <v>0</v>
      </c>
      <c r="G167" s="289">
        <f>IF('Datos generales'!$D$22&lt;=0,'Datos generales'!$D$19*G166,0)</f>
        <v>0</v>
      </c>
      <c r="H167" s="289">
        <f>IF('Datos generales'!$D$22&lt;=0,'Datos generales'!$D$19*H166,0)</f>
        <v>0</v>
      </c>
      <c r="I167" s="289">
        <f>IF('Datos generales'!$D$22&lt;=0,'Datos generales'!$D$19*I166,0)</f>
        <v>0</v>
      </c>
      <c r="J167" s="289">
        <f>IF('Datos generales'!$D$22&lt;=0,'Datos generales'!$D$19*J166,0)</f>
        <v>0</v>
      </c>
      <c r="K167" s="289">
        <f>IF('Datos generales'!$D$22&lt;=0,'Datos generales'!$D$19*K166,0)</f>
        <v>0</v>
      </c>
      <c r="L167" s="289">
        <f>IF('Datos generales'!$D$22&lt;=0,'Datos generales'!$D$19*L166,0)</f>
        <v>0</v>
      </c>
      <c r="M167" s="289">
        <f>IF('Datos generales'!$D$22&lt;=0,'Datos generales'!$D$19*M166,0)</f>
        <v>0</v>
      </c>
      <c r="N167" s="289">
        <f>IF('Datos generales'!$D$22&lt;=0,'Datos generales'!$D$19*N166,0)</f>
        <v>0</v>
      </c>
      <c r="O167" s="289">
        <f>IF('Datos generales'!$D$22&lt;=0,'Datos generales'!$D$19*O166,0)</f>
        <v>0</v>
      </c>
      <c r="P167" s="637"/>
      <c r="Q167" s="1193">
        <f t="shared" si="16"/>
        <v>0</v>
      </c>
      <c r="S167" s="58"/>
    </row>
    <row r="168" spans="2:21" x14ac:dyDescent="0.2">
      <c r="B168" s="296"/>
      <c r="C168" s="476" t="str">
        <f t="shared" si="21"/>
        <v>Total Gastos comerciales</v>
      </c>
      <c r="D168" s="906">
        <f>SUM(D166:D167)</f>
        <v>0</v>
      </c>
      <c r="E168" s="201">
        <f t="shared" ref="E168:O168" si="24">SUM(E166:E167)</f>
        <v>0</v>
      </c>
      <c r="F168" s="201">
        <f t="shared" si="24"/>
        <v>0</v>
      </c>
      <c r="G168" s="201">
        <f t="shared" si="24"/>
        <v>0</v>
      </c>
      <c r="H168" s="201">
        <f t="shared" si="24"/>
        <v>0</v>
      </c>
      <c r="I168" s="201">
        <f t="shared" si="24"/>
        <v>0</v>
      </c>
      <c r="J168" s="201">
        <f t="shared" si="24"/>
        <v>0</v>
      </c>
      <c r="K168" s="201">
        <f t="shared" si="24"/>
        <v>0</v>
      </c>
      <c r="L168" s="201">
        <f t="shared" si="24"/>
        <v>0</v>
      </c>
      <c r="M168" s="201">
        <f t="shared" si="24"/>
        <v>0</v>
      </c>
      <c r="N168" s="201">
        <f t="shared" si="24"/>
        <v>0</v>
      </c>
      <c r="O168" s="201">
        <f t="shared" si="24"/>
        <v>0</v>
      </c>
      <c r="P168" s="348"/>
      <c r="Q168" s="864">
        <f t="shared" si="16"/>
        <v>0</v>
      </c>
      <c r="S168" s="58"/>
    </row>
    <row r="169" spans="2:21" x14ac:dyDescent="0.2">
      <c r="B169" s="296"/>
      <c r="C169" s="1" t="str">
        <f t="shared" si="21"/>
        <v>Otros gastos (Servicios exteriores):</v>
      </c>
      <c r="D169" s="901"/>
      <c r="E169" s="624"/>
      <c r="F169" s="624"/>
      <c r="G169" s="624"/>
      <c r="H169" s="624"/>
      <c r="I169" s="624"/>
      <c r="J169" s="624"/>
      <c r="K169" s="624"/>
      <c r="L169" s="624"/>
      <c r="M169" s="624"/>
      <c r="N169" s="624"/>
      <c r="O169" s="624"/>
      <c r="P169" s="781"/>
      <c r="Q169" s="793"/>
      <c r="R169" s="624"/>
      <c r="S169" s="624"/>
      <c r="T169" s="624"/>
      <c r="U169" s="624"/>
    </row>
    <row r="170" spans="2:21" x14ac:dyDescent="0.2">
      <c r="B170" s="296"/>
      <c r="C170" s="150" t="str">
        <f t="shared" ref="C170:C181" si="25">C91</f>
        <v>Suministros: luz, agua, teléfono, etc.</v>
      </c>
      <c r="D170" s="903">
        <f>'Previsión de Gastos'!C37+'Previsión de Gastos'!C37*'Previsión de Gastos'!$P37</f>
        <v>0</v>
      </c>
      <c r="E170" s="786">
        <f>'Previsión de Gastos'!D37+'Previsión de Gastos'!D37*'Previsión de Gastos'!$P37</f>
        <v>0</v>
      </c>
      <c r="F170" s="786">
        <f>'Previsión de Gastos'!E37+'Previsión de Gastos'!E37*'Previsión de Gastos'!$P37</f>
        <v>0</v>
      </c>
      <c r="G170" s="786">
        <f>'Previsión de Gastos'!F37+'Previsión de Gastos'!F37*'Previsión de Gastos'!$P37</f>
        <v>0</v>
      </c>
      <c r="H170" s="786">
        <f>'Previsión de Gastos'!G37+'Previsión de Gastos'!G37*'Previsión de Gastos'!$P37</f>
        <v>0</v>
      </c>
      <c r="I170" s="786">
        <f>'Previsión de Gastos'!H37+'Previsión de Gastos'!H37*'Previsión de Gastos'!$P37</f>
        <v>0</v>
      </c>
      <c r="J170" s="786">
        <f>'Previsión de Gastos'!I37+'Previsión de Gastos'!I37*'Previsión de Gastos'!$P37</f>
        <v>0</v>
      </c>
      <c r="K170" s="786">
        <f>'Previsión de Gastos'!J37+'Previsión de Gastos'!J37*'Previsión de Gastos'!$P37</f>
        <v>0</v>
      </c>
      <c r="L170" s="786">
        <f>'Previsión de Gastos'!K37+'Previsión de Gastos'!K37*'Previsión de Gastos'!$P37</f>
        <v>0</v>
      </c>
      <c r="M170" s="786">
        <f>'Previsión de Gastos'!L37+'Previsión de Gastos'!L37*'Previsión de Gastos'!$P37</f>
        <v>0</v>
      </c>
      <c r="N170" s="786">
        <f>'Previsión de Gastos'!M37+'Previsión de Gastos'!M37*'Previsión de Gastos'!$P37</f>
        <v>0</v>
      </c>
      <c r="O170" s="786">
        <f>'Previsión de Gastos'!N37+'Previsión de Gastos'!N37*'Previsión de Gastos'!$P37</f>
        <v>0</v>
      </c>
      <c r="P170" s="788"/>
      <c r="Q170" s="1196">
        <f t="shared" si="16"/>
        <v>0</v>
      </c>
      <c r="R170" s="624"/>
      <c r="S170" s="624"/>
      <c r="T170" s="624"/>
      <c r="U170" s="624"/>
    </row>
    <row r="171" spans="2:21" x14ac:dyDescent="0.2">
      <c r="B171" s="296"/>
      <c r="C171" s="156" t="str">
        <f t="shared" si="25"/>
        <v>Servicios de profesionales indep.</v>
      </c>
      <c r="D171" s="897">
        <f>'Previsión de Gastos'!C38+'Previsión de Gastos'!C38*'Previsión de Gastos'!$P38</f>
        <v>0</v>
      </c>
      <c r="E171" s="671">
        <f>'Previsión de Gastos'!D38+'Previsión de Gastos'!D38*'Previsión de Gastos'!$P38</f>
        <v>0</v>
      </c>
      <c r="F171" s="671">
        <f>'Previsión de Gastos'!E38+'Previsión de Gastos'!E38*'Previsión de Gastos'!$P38</f>
        <v>0</v>
      </c>
      <c r="G171" s="671">
        <f>'Previsión de Gastos'!F38+'Previsión de Gastos'!F38*'Previsión de Gastos'!$P38</f>
        <v>0</v>
      </c>
      <c r="H171" s="671">
        <f>'Previsión de Gastos'!G38+'Previsión de Gastos'!G38*'Previsión de Gastos'!$P38</f>
        <v>0</v>
      </c>
      <c r="I171" s="671">
        <f>'Previsión de Gastos'!H38+'Previsión de Gastos'!H38*'Previsión de Gastos'!$P38</f>
        <v>0</v>
      </c>
      <c r="J171" s="671">
        <f>'Previsión de Gastos'!I38+'Previsión de Gastos'!I38*'Previsión de Gastos'!$P38</f>
        <v>0</v>
      </c>
      <c r="K171" s="671">
        <f>'Previsión de Gastos'!J38+'Previsión de Gastos'!J38*'Previsión de Gastos'!$P38</f>
        <v>0</v>
      </c>
      <c r="L171" s="671">
        <f>'Previsión de Gastos'!K38+'Previsión de Gastos'!K38*'Previsión de Gastos'!$P38</f>
        <v>0</v>
      </c>
      <c r="M171" s="671">
        <f>'Previsión de Gastos'!L38+'Previsión de Gastos'!L38*'Previsión de Gastos'!$P38</f>
        <v>0</v>
      </c>
      <c r="N171" s="671">
        <f>'Previsión de Gastos'!M38+'Previsión de Gastos'!M38*'Previsión de Gastos'!$P38</f>
        <v>0</v>
      </c>
      <c r="O171" s="671">
        <f>'Previsión de Gastos'!N38+'Previsión de Gastos'!N38*'Previsión de Gastos'!$P38</f>
        <v>0</v>
      </c>
      <c r="P171" s="647"/>
      <c r="Q171" s="920">
        <f t="shared" si="16"/>
        <v>0</v>
      </c>
      <c r="R171" s="624"/>
      <c r="S171" s="624"/>
      <c r="T171" s="624"/>
      <c r="U171" s="624"/>
    </row>
    <row r="172" spans="2:21" x14ac:dyDescent="0.2">
      <c r="B172" s="296"/>
      <c r="C172" s="156" t="str">
        <f t="shared" si="25"/>
        <v>Material de oficina</v>
      </c>
      <c r="D172" s="897">
        <f>'Previsión de Gastos'!C39+'Previsión de Gastos'!C39*'Previsión de Gastos'!$P39</f>
        <v>0</v>
      </c>
      <c r="E172" s="671">
        <f>'Previsión de Gastos'!D39+'Previsión de Gastos'!D39*'Previsión de Gastos'!$P39</f>
        <v>0</v>
      </c>
      <c r="F172" s="671">
        <f>'Previsión de Gastos'!E39+'Previsión de Gastos'!E39*'Previsión de Gastos'!$P39</f>
        <v>0</v>
      </c>
      <c r="G172" s="671">
        <f>'Previsión de Gastos'!F39+'Previsión de Gastos'!F39*'Previsión de Gastos'!$P39</f>
        <v>0</v>
      </c>
      <c r="H172" s="671">
        <f>'Previsión de Gastos'!G39+'Previsión de Gastos'!G39*'Previsión de Gastos'!$P39</f>
        <v>0</v>
      </c>
      <c r="I172" s="671">
        <f>'Previsión de Gastos'!H39+'Previsión de Gastos'!H39*'Previsión de Gastos'!$P39</f>
        <v>0</v>
      </c>
      <c r="J172" s="671">
        <f>'Previsión de Gastos'!I39+'Previsión de Gastos'!I39*'Previsión de Gastos'!$P39</f>
        <v>0</v>
      </c>
      <c r="K172" s="671">
        <f>'Previsión de Gastos'!J39+'Previsión de Gastos'!J39*'Previsión de Gastos'!$P39</f>
        <v>0</v>
      </c>
      <c r="L172" s="671">
        <f>'Previsión de Gastos'!K39+'Previsión de Gastos'!K39*'Previsión de Gastos'!$P39</f>
        <v>0</v>
      </c>
      <c r="M172" s="671">
        <f>'Previsión de Gastos'!L39+'Previsión de Gastos'!L39*'Previsión de Gastos'!$P39</f>
        <v>0</v>
      </c>
      <c r="N172" s="671">
        <f>'Previsión de Gastos'!M39+'Previsión de Gastos'!M39*'Previsión de Gastos'!$P39</f>
        <v>0</v>
      </c>
      <c r="O172" s="671">
        <f>'Previsión de Gastos'!N39+'Previsión de Gastos'!N39*'Previsión de Gastos'!$P39</f>
        <v>0</v>
      </c>
      <c r="P172" s="647"/>
      <c r="Q172" s="920">
        <f t="shared" si="16"/>
        <v>0</v>
      </c>
      <c r="R172" s="624"/>
      <c r="S172" s="624"/>
      <c r="T172" s="624"/>
      <c r="U172" s="624"/>
    </row>
    <row r="173" spans="2:21" x14ac:dyDescent="0.2">
      <c r="B173" s="296"/>
      <c r="C173" s="156" t="str">
        <f t="shared" si="25"/>
        <v>Primas de Seguros</v>
      </c>
      <c r="D173" s="905">
        <f>'Previsión de Gastos'!C40+'Previsión de Gastos'!C40*'Previsión de Gastos'!$P40</f>
        <v>0</v>
      </c>
      <c r="E173" s="289">
        <f>'Previsión de Gastos'!D40+'Previsión de Gastos'!D40*'Previsión de Gastos'!$P40</f>
        <v>0</v>
      </c>
      <c r="F173" s="289">
        <f>'Previsión de Gastos'!E40+'Previsión de Gastos'!E40*'Previsión de Gastos'!$P40</f>
        <v>0</v>
      </c>
      <c r="G173" s="289">
        <f>'Previsión de Gastos'!F40+'Previsión de Gastos'!F40*'Previsión de Gastos'!$P40</f>
        <v>0</v>
      </c>
      <c r="H173" s="289">
        <f>'Previsión de Gastos'!G40+'Previsión de Gastos'!G40*'Previsión de Gastos'!$P40</f>
        <v>0</v>
      </c>
      <c r="I173" s="289">
        <f>'Previsión de Gastos'!H40+'Previsión de Gastos'!H40*'Previsión de Gastos'!$P40</f>
        <v>0</v>
      </c>
      <c r="J173" s="289">
        <f>'Previsión de Gastos'!I40+'Previsión de Gastos'!I40*'Previsión de Gastos'!$P40</f>
        <v>0</v>
      </c>
      <c r="K173" s="289">
        <f>'Previsión de Gastos'!J40+'Previsión de Gastos'!J40*'Previsión de Gastos'!$P40</f>
        <v>0</v>
      </c>
      <c r="L173" s="289">
        <f>'Previsión de Gastos'!K40+'Previsión de Gastos'!K40*'Previsión de Gastos'!$P40</f>
        <v>0</v>
      </c>
      <c r="M173" s="289">
        <f>'Previsión de Gastos'!L40+'Previsión de Gastos'!L40*'Previsión de Gastos'!$P40</f>
        <v>0</v>
      </c>
      <c r="N173" s="289">
        <f>'Previsión de Gastos'!M40+'Previsión de Gastos'!M40*'Previsión de Gastos'!$P40</f>
        <v>0</v>
      </c>
      <c r="O173" s="289">
        <f>'Previsión de Gastos'!N40+'Previsión de Gastos'!N40*'Previsión de Gastos'!$P40</f>
        <v>0</v>
      </c>
      <c r="P173" s="637"/>
      <c r="Q173" s="1193">
        <f t="shared" si="16"/>
        <v>0</v>
      </c>
      <c r="S173" s="58"/>
    </row>
    <row r="174" spans="2:21" x14ac:dyDescent="0.2">
      <c r="B174" s="296"/>
      <c r="C174" s="156" t="str">
        <f t="shared" si="25"/>
        <v>Trabajos realizados por otras empresas</v>
      </c>
      <c r="D174" s="905">
        <f>'Previsión de Gastos'!C41+'Previsión de Gastos'!C41*'Previsión de Gastos'!$P41</f>
        <v>0</v>
      </c>
      <c r="E174" s="289">
        <f>'Previsión de Gastos'!D41+'Previsión de Gastos'!D41*'Previsión de Gastos'!$P41</f>
        <v>0</v>
      </c>
      <c r="F174" s="289">
        <f>'Previsión de Gastos'!E41+'Previsión de Gastos'!E41*'Previsión de Gastos'!$P41</f>
        <v>0</v>
      </c>
      <c r="G174" s="289">
        <f>'Previsión de Gastos'!F41+'Previsión de Gastos'!F41*'Previsión de Gastos'!$P41</f>
        <v>0</v>
      </c>
      <c r="H174" s="289">
        <f>'Previsión de Gastos'!G41+'Previsión de Gastos'!G41*'Previsión de Gastos'!$P41</f>
        <v>0</v>
      </c>
      <c r="I174" s="289">
        <f>'Previsión de Gastos'!H41+'Previsión de Gastos'!H41*'Previsión de Gastos'!$P41</f>
        <v>0</v>
      </c>
      <c r="J174" s="289">
        <f>'Previsión de Gastos'!I41+'Previsión de Gastos'!I41*'Previsión de Gastos'!$P41</f>
        <v>0</v>
      </c>
      <c r="K174" s="289">
        <f>'Previsión de Gastos'!J41+'Previsión de Gastos'!J41*'Previsión de Gastos'!$P41</f>
        <v>0</v>
      </c>
      <c r="L174" s="289">
        <f>'Previsión de Gastos'!K41+'Previsión de Gastos'!K41*'Previsión de Gastos'!$P41</f>
        <v>0</v>
      </c>
      <c r="M174" s="289">
        <f>'Previsión de Gastos'!L41+'Previsión de Gastos'!L41*'Previsión de Gastos'!$P41</f>
        <v>0</v>
      </c>
      <c r="N174" s="289">
        <f>'Previsión de Gastos'!M41+'Previsión de Gastos'!M41*'Previsión de Gastos'!$P41</f>
        <v>0</v>
      </c>
      <c r="O174" s="289">
        <f>'Previsión de Gastos'!N41+'Previsión de Gastos'!N41*'Previsión de Gastos'!$P41</f>
        <v>0</v>
      </c>
      <c r="P174" s="637"/>
      <c r="Q174" s="1193">
        <f t="shared" si="16"/>
        <v>0</v>
      </c>
      <c r="S174" s="58"/>
    </row>
    <row r="175" spans="2:21" x14ac:dyDescent="0.2">
      <c r="B175" s="296"/>
      <c r="C175" s="156" t="str">
        <f t="shared" si="25"/>
        <v>Arrendamientos</v>
      </c>
      <c r="D175" s="897">
        <f>'Previsión de Gastos'!C42+'Previsión de Gastos'!C42*'Previsión de Gastos'!$P42</f>
        <v>0</v>
      </c>
      <c r="E175" s="671">
        <f>'Previsión de Gastos'!D42+'Previsión de Gastos'!D42*'Previsión de Gastos'!$P42</f>
        <v>0</v>
      </c>
      <c r="F175" s="671">
        <f>'Previsión de Gastos'!E42+'Previsión de Gastos'!E42*'Previsión de Gastos'!$P42</f>
        <v>0</v>
      </c>
      <c r="G175" s="671">
        <f>'Previsión de Gastos'!F42+'Previsión de Gastos'!F42*'Previsión de Gastos'!$P42</f>
        <v>0</v>
      </c>
      <c r="H175" s="671">
        <f>'Previsión de Gastos'!G42+'Previsión de Gastos'!G42*'Previsión de Gastos'!$P42</f>
        <v>0</v>
      </c>
      <c r="I175" s="671">
        <f>'Previsión de Gastos'!H42+'Previsión de Gastos'!H42*'Previsión de Gastos'!$P42</f>
        <v>0</v>
      </c>
      <c r="J175" s="671">
        <f>'Previsión de Gastos'!I42+'Previsión de Gastos'!I42*'Previsión de Gastos'!$P42</f>
        <v>0</v>
      </c>
      <c r="K175" s="671">
        <f>'Previsión de Gastos'!J42+'Previsión de Gastos'!J42*'Previsión de Gastos'!$P42</f>
        <v>0</v>
      </c>
      <c r="L175" s="671">
        <f>'Previsión de Gastos'!K42+'Previsión de Gastos'!K42*'Previsión de Gastos'!$P42</f>
        <v>0</v>
      </c>
      <c r="M175" s="671">
        <f>'Previsión de Gastos'!L42+'Previsión de Gastos'!L42*'Previsión de Gastos'!$P42</f>
        <v>0</v>
      </c>
      <c r="N175" s="671">
        <f>'Previsión de Gastos'!M42+'Previsión de Gastos'!M42*'Previsión de Gastos'!$P42</f>
        <v>0</v>
      </c>
      <c r="O175" s="671">
        <f>'Previsión de Gastos'!N42+'Previsión de Gastos'!N42*'Previsión de Gastos'!$P42</f>
        <v>0</v>
      </c>
      <c r="P175" s="647"/>
      <c r="Q175" s="920">
        <f t="shared" si="16"/>
        <v>0</v>
      </c>
      <c r="R175" s="624"/>
      <c r="S175" s="624"/>
      <c r="T175" s="624"/>
      <c r="U175" s="624"/>
    </row>
    <row r="176" spans="2:21" x14ac:dyDescent="0.2">
      <c r="B176" s="296"/>
      <c r="C176" s="156" t="str">
        <f t="shared" si="25"/>
        <v>Mantenimiento y reparación</v>
      </c>
      <c r="D176" s="897">
        <f>'Previsión de Gastos'!C43+'Previsión de Gastos'!C43*'Previsión de Gastos'!$P43</f>
        <v>0</v>
      </c>
      <c r="E176" s="671">
        <f>'Previsión de Gastos'!D43+'Previsión de Gastos'!D43*'Previsión de Gastos'!$P43</f>
        <v>0</v>
      </c>
      <c r="F176" s="671">
        <f>'Previsión de Gastos'!E43+'Previsión de Gastos'!E43*'Previsión de Gastos'!$P43</f>
        <v>0</v>
      </c>
      <c r="G176" s="671">
        <f>'Previsión de Gastos'!F43+'Previsión de Gastos'!F43*'Previsión de Gastos'!$P43</f>
        <v>0</v>
      </c>
      <c r="H176" s="671">
        <f>'Previsión de Gastos'!G43+'Previsión de Gastos'!G43*'Previsión de Gastos'!$P43</f>
        <v>0</v>
      </c>
      <c r="I176" s="671">
        <f>'Previsión de Gastos'!H43+'Previsión de Gastos'!H43*'Previsión de Gastos'!$P43</f>
        <v>0</v>
      </c>
      <c r="J176" s="671">
        <f>'Previsión de Gastos'!I43+'Previsión de Gastos'!I43*'Previsión de Gastos'!$P43</f>
        <v>0</v>
      </c>
      <c r="K176" s="671">
        <f>'Previsión de Gastos'!J43+'Previsión de Gastos'!J43*'Previsión de Gastos'!$P43</f>
        <v>0</v>
      </c>
      <c r="L176" s="671">
        <f>'Previsión de Gastos'!K43+'Previsión de Gastos'!K43*'Previsión de Gastos'!$P43</f>
        <v>0</v>
      </c>
      <c r="M176" s="671">
        <f>'Previsión de Gastos'!L43+'Previsión de Gastos'!L43*'Previsión de Gastos'!$P43</f>
        <v>0</v>
      </c>
      <c r="N176" s="671">
        <f>'Previsión de Gastos'!M43+'Previsión de Gastos'!M43*'Previsión de Gastos'!$P43</f>
        <v>0</v>
      </c>
      <c r="O176" s="671">
        <f>'Previsión de Gastos'!N43+'Previsión de Gastos'!N43*'Previsión de Gastos'!$P43</f>
        <v>0</v>
      </c>
      <c r="P176" s="647"/>
      <c r="Q176" s="920">
        <f t="shared" si="16"/>
        <v>0</v>
      </c>
      <c r="R176" s="624"/>
      <c r="S176" s="624"/>
      <c r="T176" s="624"/>
      <c r="U176" s="624"/>
    </row>
    <row r="177" spans="2:21" x14ac:dyDescent="0.2">
      <c r="B177" s="296"/>
      <c r="C177" s="156" t="str">
        <f t="shared" si="25"/>
        <v>Limpieza</v>
      </c>
      <c r="D177" s="905">
        <f>'Previsión de Gastos'!C44+'Previsión de Gastos'!C44*'Previsión de Gastos'!$P44</f>
        <v>0</v>
      </c>
      <c r="E177" s="289">
        <f>'Previsión de Gastos'!D44+'Previsión de Gastos'!D44*'Previsión de Gastos'!$P44</f>
        <v>0</v>
      </c>
      <c r="F177" s="289">
        <f>'Previsión de Gastos'!E44+'Previsión de Gastos'!E44*'Previsión de Gastos'!$P44</f>
        <v>0</v>
      </c>
      <c r="G177" s="289">
        <f>'Previsión de Gastos'!F44+'Previsión de Gastos'!F44*'Previsión de Gastos'!$P44</f>
        <v>0</v>
      </c>
      <c r="H177" s="289">
        <f>'Previsión de Gastos'!G44+'Previsión de Gastos'!G44*'Previsión de Gastos'!$P44</f>
        <v>0</v>
      </c>
      <c r="I177" s="289">
        <f>'Previsión de Gastos'!H44+'Previsión de Gastos'!H44*'Previsión de Gastos'!$P44</f>
        <v>0</v>
      </c>
      <c r="J177" s="289">
        <f>'Previsión de Gastos'!I44+'Previsión de Gastos'!I44*'Previsión de Gastos'!$P44</f>
        <v>0</v>
      </c>
      <c r="K177" s="289">
        <f>'Previsión de Gastos'!J44+'Previsión de Gastos'!J44*'Previsión de Gastos'!$P44</f>
        <v>0</v>
      </c>
      <c r="L177" s="289">
        <f>'Previsión de Gastos'!K44+'Previsión de Gastos'!K44*'Previsión de Gastos'!$P44</f>
        <v>0</v>
      </c>
      <c r="M177" s="289">
        <f>'Previsión de Gastos'!L44+'Previsión de Gastos'!L44*'Previsión de Gastos'!$P44</f>
        <v>0</v>
      </c>
      <c r="N177" s="289">
        <f>'Previsión de Gastos'!M44+'Previsión de Gastos'!M44*'Previsión de Gastos'!$P44</f>
        <v>0</v>
      </c>
      <c r="O177" s="289">
        <f>'Previsión de Gastos'!N44+'Previsión de Gastos'!N44*'Previsión de Gastos'!$P44</f>
        <v>0</v>
      </c>
      <c r="P177" s="637"/>
      <c r="Q177" s="1193">
        <f t="shared" si="16"/>
        <v>0</v>
      </c>
      <c r="S177" s="58"/>
    </row>
    <row r="178" spans="2:21" x14ac:dyDescent="0.2">
      <c r="B178" s="296"/>
      <c r="C178" s="156" t="str">
        <f t="shared" si="25"/>
        <v>Hosting</v>
      </c>
      <c r="D178" s="905">
        <f>'Previsión de Gastos'!C45+'Previsión de Gastos'!C45*'Previsión de Gastos'!$P45</f>
        <v>0</v>
      </c>
      <c r="E178" s="289">
        <f>'Previsión de Gastos'!D45+'Previsión de Gastos'!D45*'Previsión de Gastos'!$P45</f>
        <v>0</v>
      </c>
      <c r="F178" s="289">
        <f>'Previsión de Gastos'!E45+'Previsión de Gastos'!E45*'Previsión de Gastos'!$P45</f>
        <v>0</v>
      </c>
      <c r="G178" s="289">
        <f>'Previsión de Gastos'!F45+'Previsión de Gastos'!F45*'Previsión de Gastos'!$P45</f>
        <v>0</v>
      </c>
      <c r="H178" s="289">
        <f>'Previsión de Gastos'!G45+'Previsión de Gastos'!G45*'Previsión de Gastos'!$P45</f>
        <v>0</v>
      </c>
      <c r="I178" s="289">
        <f>'Previsión de Gastos'!H45+'Previsión de Gastos'!H45*'Previsión de Gastos'!$P45</f>
        <v>0</v>
      </c>
      <c r="J178" s="289">
        <f>'Previsión de Gastos'!I45+'Previsión de Gastos'!I45*'Previsión de Gastos'!$P45</f>
        <v>0</v>
      </c>
      <c r="K178" s="289">
        <f>'Previsión de Gastos'!J45+'Previsión de Gastos'!J45*'Previsión de Gastos'!$P45</f>
        <v>0</v>
      </c>
      <c r="L178" s="289">
        <f>'Previsión de Gastos'!K45+'Previsión de Gastos'!K45*'Previsión de Gastos'!$P45</f>
        <v>0</v>
      </c>
      <c r="M178" s="289">
        <f>'Previsión de Gastos'!L45+'Previsión de Gastos'!L45*'Previsión de Gastos'!$P45</f>
        <v>0</v>
      </c>
      <c r="N178" s="289">
        <f>'Previsión de Gastos'!M45+'Previsión de Gastos'!M45*'Previsión de Gastos'!$P45</f>
        <v>0</v>
      </c>
      <c r="O178" s="289">
        <f>'Previsión de Gastos'!N45+'Previsión de Gastos'!N45*'Previsión de Gastos'!$P45</f>
        <v>0</v>
      </c>
      <c r="P178" s="637"/>
      <c r="Q178" s="1193">
        <f t="shared" si="16"/>
        <v>0</v>
      </c>
      <c r="S178" s="58"/>
    </row>
    <row r="179" spans="2:21" x14ac:dyDescent="0.2">
      <c r="B179" s="296"/>
      <c r="C179" s="156" t="str">
        <f t="shared" si="25"/>
        <v>Varios</v>
      </c>
      <c r="D179" s="905">
        <f>'Previsión de Gastos'!C46+'Previsión de Gastos'!C46*'Previsión de Gastos'!$P46</f>
        <v>0</v>
      </c>
      <c r="E179" s="289">
        <f>'Previsión de Gastos'!D46+'Previsión de Gastos'!D46*'Previsión de Gastos'!$P46</f>
        <v>0</v>
      </c>
      <c r="F179" s="289">
        <f>'Previsión de Gastos'!E46+'Previsión de Gastos'!E46*'Previsión de Gastos'!$P46</f>
        <v>0</v>
      </c>
      <c r="G179" s="289">
        <f>'Previsión de Gastos'!F46+'Previsión de Gastos'!F46*'Previsión de Gastos'!$P46</f>
        <v>0</v>
      </c>
      <c r="H179" s="289">
        <f>'Previsión de Gastos'!G46+'Previsión de Gastos'!G46*'Previsión de Gastos'!$P46</f>
        <v>0</v>
      </c>
      <c r="I179" s="289">
        <f>'Previsión de Gastos'!H46+'Previsión de Gastos'!H46*'Previsión de Gastos'!$P46</f>
        <v>0</v>
      </c>
      <c r="J179" s="289">
        <f>'Previsión de Gastos'!I46+'Previsión de Gastos'!I46*'Previsión de Gastos'!$P46</f>
        <v>0</v>
      </c>
      <c r="K179" s="289">
        <f>'Previsión de Gastos'!J46+'Previsión de Gastos'!J46*'Previsión de Gastos'!$P46</f>
        <v>0</v>
      </c>
      <c r="L179" s="289">
        <f>'Previsión de Gastos'!K46+'Previsión de Gastos'!K46*'Previsión de Gastos'!$P46</f>
        <v>0</v>
      </c>
      <c r="M179" s="289">
        <f>'Previsión de Gastos'!L46+'Previsión de Gastos'!L46*'Previsión de Gastos'!$P46</f>
        <v>0</v>
      </c>
      <c r="N179" s="289">
        <f>'Previsión de Gastos'!M46+'Previsión de Gastos'!M46*'Previsión de Gastos'!$P46</f>
        <v>0</v>
      </c>
      <c r="O179" s="289">
        <f>'Previsión de Gastos'!N46+'Previsión de Gastos'!N46*'Previsión de Gastos'!$P46</f>
        <v>0</v>
      </c>
      <c r="P179" s="637"/>
      <c r="Q179" s="1193">
        <f t="shared" si="16"/>
        <v>0</v>
      </c>
      <c r="S179" s="58"/>
    </row>
    <row r="180" spans="2:21" s="1" customFormat="1" x14ac:dyDescent="0.2">
      <c r="B180" s="296"/>
      <c r="C180" s="300" t="str">
        <f t="shared" si="25"/>
        <v>Total</v>
      </c>
      <c r="D180" s="295">
        <f>SUM(D170:D179)</f>
        <v>0</v>
      </c>
      <c r="E180" s="295">
        <f t="shared" ref="E180:O180" si="26">SUM(E170:E179)</f>
        <v>0</v>
      </c>
      <c r="F180" s="295">
        <f t="shared" si="26"/>
        <v>0</v>
      </c>
      <c r="G180" s="295">
        <f t="shared" si="26"/>
        <v>0</v>
      </c>
      <c r="H180" s="295">
        <f t="shared" si="26"/>
        <v>0</v>
      </c>
      <c r="I180" s="295">
        <f t="shared" si="26"/>
        <v>0</v>
      </c>
      <c r="J180" s="295">
        <f t="shared" si="26"/>
        <v>0</v>
      </c>
      <c r="K180" s="295">
        <f t="shared" si="26"/>
        <v>0</v>
      </c>
      <c r="L180" s="295">
        <f t="shared" si="26"/>
        <v>0</v>
      </c>
      <c r="M180" s="295">
        <f t="shared" si="26"/>
        <v>0</v>
      </c>
      <c r="N180" s="295">
        <f t="shared" si="26"/>
        <v>0</v>
      </c>
      <c r="O180" s="295">
        <f t="shared" si="26"/>
        <v>0</v>
      </c>
      <c r="P180" s="639"/>
      <c r="Q180" s="363">
        <f t="shared" si="16"/>
        <v>0</v>
      </c>
      <c r="S180" s="58"/>
    </row>
    <row r="181" spans="2:21" x14ac:dyDescent="0.2">
      <c r="B181" s="296"/>
      <c r="C181" s="156" t="str">
        <f t="shared" si="25"/>
        <v>IVA soportado(*)</v>
      </c>
      <c r="D181" s="289">
        <f>IF('Datos generales'!$D$22&lt;=0,'Datos generales'!$D$19*D180,0)</f>
        <v>0</v>
      </c>
      <c r="E181" s="289">
        <f>IF('Datos generales'!$D$22&lt;=0,'Datos generales'!$D$19*E180,0)</f>
        <v>0</v>
      </c>
      <c r="F181" s="289">
        <f>IF('Datos generales'!$D$22&lt;=0,'Datos generales'!$D$19*F180,0)</f>
        <v>0</v>
      </c>
      <c r="G181" s="289">
        <f>IF('Datos generales'!$D$22&lt;=0,'Datos generales'!$D$19*G180,0)</f>
        <v>0</v>
      </c>
      <c r="H181" s="289">
        <f>IF('Datos generales'!$D$22&lt;=0,'Datos generales'!$D$19*H180,0)</f>
        <v>0</v>
      </c>
      <c r="I181" s="289">
        <f>IF('Datos generales'!$D$22&lt;=0,'Datos generales'!$D$19*I180,0)</f>
        <v>0</v>
      </c>
      <c r="J181" s="289">
        <f>IF('Datos generales'!$D$22&lt;=0,'Datos generales'!$D$19*J180,0)</f>
        <v>0</v>
      </c>
      <c r="K181" s="289">
        <f>IF('Datos generales'!$D$22&lt;=0,'Datos generales'!$D$19*K180,0)</f>
        <v>0</v>
      </c>
      <c r="L181" s="289">
        <f>IF('Datos generales'!$D$22&lt;=0,'Datos generales'!$D$19*L180,0)</f>
        <v>0</v>
      </c>
      <c r="M181" s="289">
        <f>IF('Datos generales'!$D$22&lt;=0,'Datos generales'!$D$19*M180,0)</f>
        <v>0</v>
      </c>
      <c r="N181" s="289">
        <f>IF('Datos generales'!$D$22&lt;=0,'Datos generales'!$D$19*N180,0)</f>
        <v>0</v>
      </c>
      <c r="O181" s="289">
        <f>IF('Datos generales'!$D$22&lt;=0,'Datos generales'!$D$19*O180,0)</f>
        <v>0</v>
      </c>
      <c r="P181" s="637"/>
      <c r="Q181" s="1193">
        <f t="shared" si="16"/>
        <v>0</v>
      </c>
      <c r="S181" s="58"/>
    </row>
    <row r="182" spans="2:21" x14ac:dyDescent="0.2">
      <c r="B182" s="296"/>
      <c r="C182" s="476" t="str">
        <f>C103</f>
        <v>Total Otros gastos (Servicios exteriores)</v>
      </c>
      <c r="D182" s="909">
        <f>SUM(D180:D181)</f>
        <v>0</v>
      </c>
      <c r="E182" s="865">
        <f t="shared" ref="E182:O182" si="27">SUM(E180:E181)</f>
        <v>0</v>
      </c>
      <c r="F182" s="865">
        <f t="shared" si="27"/>
        <v>0</v>
      </c>
      <c r="G182" s="865">
        <f t="shared" si="27"/>
        <v>0</v>
      </c>
      <c r="H182" s="865">
        <f t="shared" si="27"/>
        <v>0</v>
      </c>
      <c r="I182" s="865">
        <f t="shared" si="27"/>
        <v>0</v>
      </c>
      <c r="J182" s="865">
        <f t="shared" si="27"/>
        <v>0</v>
      </c>
      <c r="K182" s="865">
        <f t="shared" si="27"/>
        <v>0</v>
      </c>
      <c r="L182" s="865">
        <f t="shared" si="27"/>
        <v>0</v>
      </c>
      <c r="M182" s="865">
        <f t="shared" si="27"/>
        <v>0</v>
      </c>
      <c r="N182" s="865">
        <f t="shared" si="27"/>
        <v>0</v>
      </c>
      <c r="O182" s="865">
        <f t="shared" si="27"/>
        <v>0</v>
      </c>
      <c r="P182" s="646"/>
      <c r="Q182" s="866">
        <f t="shared" si="16"/>
        <v>0</v>
      </c>
      <c r="R182" s="624"/>
      <c r="S182" s="624"/>
      <c r="T182" s="624"/>
      <c r="U182" s="624"/>
    </row>
    <row r="183" spans="2:21" x14ac:dyDescent="0.2">
      <c r="B183" s="296"/>
      <c r="D183" s="901"/>
      <c r="E183" s="624"/>
      <c r="F183" s="624"/>
      <c r="G183" s="624"/>
      <c r="H183" s="624"/>
      <c r="I183" s="624"/>
      <c r="J183" s="624"/>
      <c r="K183" s="624"/>
      <c r="L183" s="624"/>
      <c r="M183" s="624"/>
      <c r="N183" s="624"/>
      <c r="O183" s="624"/>
      <c r="P183" s="781"/>
      <c r="Q183" s="801"/>
      <c r="R183" s="624"/>
      <c r="S183" s="624"/>
      <c r="T183" s="624"/>
      <c r="U183" s="624"/>
    </row>
    <row r="184" spans="2:21" ht="15" x14ac:dyDescent="0.25">
      <c r="B184" s="867" t="str">
        <f>B105</f>
        <v>Total Otros gastos de explotación</v>
      </c>
      <c r="C184" s="868"/>
      <c r="D184" s="910">
        <f t="shared" ref="D184:P184" ca="1" si="28">D161+D168+D182</f>
        <v>0</v>
      </c>
      <c r="E184" s="869">
        <f t="shared" ca="1" si="28"/>
        <v>0</v>
      </c>
      <c r="F184" s="869">
        <f t="shared" ca="1" si="28"/>
        <v>0</v>
      </c>
      <c r="G184" s="869">
        <f t="shared" ca="1" si="28"/>
        <v>0</v>
      </c>
      <c r="H184" s="869">
        <f t="shared" ca="1" si="28"/>
        <v>0</v>
      </c>
      <c r="I184" s="869">
        <f t="shared" ca="1" si="28"/>
        <v>0</v>
      </c>
      <c r="J184" s="869">
        <f t="shared" ca="1" si="28"/>
        <v>0</v>
      </c>
      <c r="K184" s="869">
        <f t="shared" ca="1" si="28"/>
        <v>0</v>
      </c>
      <c r="L184" s="869">
        <f t="shared" ca="1" si="28"/>
        <v>0</v>
      </c>
      <c r="M184" s="869">
        <f t="shared" ca="1" si="28"/>
        <v>0</v>
      </c>
      <c r="N184" s="869">
        <f t="shared" ca="1" si="28"/>
        <v>0</v>
      </c>
      <c r="O184" s="869">
        <f t="shared" ca="1" si="28"/>
        <v>0</v>
      </c>
      <c r="P184" s="870">
        <f t="shared" si="28"/>
        <v>0</v>
      </c>
      <c r="Q184" s="871">
        <f t="shared" ca="1" si="16"/>
        <v>0</v>
      </c>
      <c r="R184" s="624"/>
      <c r="S184" s="790"/>
      <c r="T184" s="624"/>
      <c r="U184" s="624"/>
    </row>
    <row r="185" spans="2:21" x14ac:dyDescent="0.2">
      <c r="B185" s="296"/>
      <c r="D185" s="893"/>
      <c r="E185" s="626"/>
      <c r="F185" s="626"/>
      <c r="G185" s="626"/>
      <c r="H185" s="626"/>
      <c r="I185" s="626"/>
      <c r="J185" s="626"/>
      <c r="K185" s="626"/>
      <c r="L185" s="626"/>
      <c r="M185" s="626"/>
      <c r="N185" s="626"/>
      <c r="O185" s="626"/>
      <c r="P185" s="781"/>
      <c r="Q185" s="793"/>
      <c r="R185" s="624"/>
      <c r="S185" s="624"/>
      <c r="T185" s="624"/>
      <c r="U185" s="624"/>
    </row>
    <row r="186" spans="2:21" x14ac:dyDescent="0.2">
      <c r="B186" s="632" t="str">
        <f>B108</f>
        <v>Amortización del inmovilizado</v>
      </c>
      <c r="C186" s="464"/>
      <c r="D186" s="903">
        <f>'AMORTIZACION CONTABLE'!J38/12</f>
        <v>0</v>
      </c>
      <c r="E186" s="786">
        <f>$D186</f>
        <v>0</v>
      </c>
      <c r="F186" s="786">
        <f t="shared" ref="F186:O186" si="29">$D186</f>
        <v>0</v>
      </c>
      <c r="G186" s="786">
        <f t="shared" si="29"/>
        <v>0</v>
      </c>
      <c r="H186" s="786">
        <f t="shared" si="29"/>
        <v>0</v>
      </c>
      <c r="I186" s="786">
        <f t="shared" si="29"/>
        <v>0</v>
      </c>
      <c r="J186" s="786">
        <f t="shared" si="29"/>
        <v>0</v>
      </c>
      <c r="K186" s="786">
        <f t="shared" si="29"/>
        <v>0</v>
      </c>
      <c r="L186" s="786">
        <f t="shared" si="29"/>
        <v>0</v>
      </c>
      <c r="M186" s="786">
        <f t="shared" si="29"/>
        <v>0</v>
      </c>
      <c r="N186" s="786">
        <f t="shared" si="29"/>
        <v>0</v>
      </c>
      <c r="O186" s="786">
        <f t="shared" si="29"/>
        <v>0</v>
      </c>
      <c r="P186" s="788"/>
      <c r="Q186" s="1196">
        <f t="shared" si="16"/>
        <v>0</v>
      </c>
      <c r="R186" s="624"/>
      <c r="S186" s="624"/>
      <c r="T186" s="624"/>
      <c r="U186" s="624"/>
    </row>
    <row r="187" spans="2:21" ht="12.75" customHeight="1" x14ac:dyDescent="0.2">
      <c r="B187" s="210"/>
      <c r="C187" s="1"/>
      <c r="D187" s="896"/>
      <c r="E187" s="625"/>
      <c r="F187" s="625"/>
      <c r="G187" s="625"/>
      <c r="H187" s="625"/>
      <c r="I187" s="625"/>
      <c r="J187" s="625"/>
      <c r="K187" s="625"/>
      <c r="L187" s="625"/>
      <c r="M187" s="625"/>
      <c r="N187" s="625"/>
      <c r="O187" s="625"/>
      <c r="P187" s="781"/>
      <c r="Q187" s="1195"/>
      <c r="R187" s="624"/>
      <c r="S187" s="624"/>
      <c r="T187" s="624"/>
      <c r="U187" s="624"/>
    </row>
    <row r="188" spans="2:21" ht="12" customHeight="1" x14ac:dyDescent="0.2">
      <c r="B188" s="1372" t="str">
        <f>B110</f>
        <v>Imputación de subvenciones de inmovilizado no financiero y otras:</v>
      </c>
      <c r="C188" s="1373"/>
      <c r="D188" s="902"/>
      <c r="E188" s="299"/>
      <c r="F188" s="299"/>
      <c r="G188" s="299"/>
      <c r="H188" s="299"/>
      <c r="I188" s="299"/>
      <c r="J188" s="299"/>
      <c r="K188" s="299"/>
      <c r="L188" s="299"/>
      <c r="M188" s="299"/>
      <c r="N188" s="299"/>
      <c r="O188" s="299"/>
      <c r="P188" s="640">
        <f>'Entrada Inver_Finan'!F102+'Entrada Inver_Finan'!F103</f>
        <v>0</v>
      </c>
      <c r="Q188" s="1194">
        <f t="shared" si="16"/>
        <v>0</v>
      </c>
      <c r="S188" s="58"/>
    </row>
    <row r="189" spans="2:21" x14ac:dyDescent="0.2">
      <c r="B189" s="210"/>
      <c r="C189" s="1"/>
      <c r="D189" s="896"/>
      <c r="E189" s="625"/>
      <c r="F189" s="625"/>
      <c r="G189" s="625"/>
      <c r="H189" s="625"/>
      <c r="I189" s="625"/>
      <c r="J189" s="625"/>
      <c r="K189" s="625"/>
      <c r="L189" s="625"/>
      <c r="M189" s="625"/>
      <c r="N189" s="625"/>
      <c r="O189" s="625"/>
      <c r="P189" s="781"/>
      <c r="Q189" s="793"/>
      <c r="R189" s="624"/>
      <c r="S189" s="624"/>
      <c r="T189" s="624"/>
      <c r="U189" s="624"/>
    </row>
    <row r="190" spans="2:21" s="58" customFormat="1" ht="15.75" x14ac:dyDescent="0.25">
      <c r="B190" s="861" t="str">
        <f>B112</f>
        <v>RESULTADO DE EXPLOTACIÓN</v>
      </c>
      <c r="C190" s="872"/>
      <c r="D190" s="910">
        <f t="shared" ref="D190:O190" ca="1" si="30">D143-D152-D184-D186+D188</f>
        <v>0</v>
      </c>
      <c r="E190" s="869">
        <f t="shared" ca="1" si="30"/>
        <v>0</v>
      </c>
      <c r="F190" s="869">
        <f t="shared" ca="1" si="30"/>
        <v>0</v>
      </c>
      <c r="G190" s="869">
        <f t="shared" ca="1" si="30"/>
        <v>0</v>
      </c>
      <c r="H190" s="869">
        <f t="shared" ca="1" si="30"/>
        <v>0</v>
      </c>
      <c r="I190" s="869">
        <f t="shared" ca="1" si="30"/>
        <v>0</v>
      </c>
      <c r="J190" s="869">
        <f t="shared" ca="1" si="30"/>
        <v>0</v>
      </c>
      <c r="K190" s="869">
        <f t="shared" ca="1" si="30"/>
        <v>0</v>
      </c>
      <c r="L190" s="869">
        <f t="shared" ca="1" si="30"/>
        <v>0</v>
      </c>
      <c r="M190" s="869">
        <f t="shared" ca="1" si="30"/>
        <v>0</v>
      </c>
      <c r="N190" s="869">
        <f t="shared" ca="1" si="30"/>
        <v>0</v>
      </c>
      <c r="O190" s="869">
        <f t="shared" ca="1" si="30"/>
        <v>0</v>
      </c>
      <c r="P190" s="870">
        <f>P134-P152-P184-P186+P188</f>
        <v>0</v>
      </c>
      <c r="Q190" s="871">
        <f t="shared" ca="1" si="16"/>
        <v>0</v>
      </c>
      <c r="R190" s="624"/>
      <c r="S190" s="790"/>
      <c r="T190" s="624"/>
      <c r="U190" s="624"/>
    </row>
    <row r="191" spans="2:21" x14ac:dyDescent="0.2">
      <c r="B191" s="210" t="str">
        <f>B113</f>
        <v>Ingresos financieros</v>
      </c>
      <c r="C191" s="1"/>
      <c r="D191" s="911"/>
      <c r="E191" s="1"/>
      <c r="F191" s="1"/>
      <c r="G191" s="1"/>
      <c r="H191" s="1"/>
      <c r="I191" s="1"/>
      <c r="J191" s="1"/>
      <c r="K191" s="1"/>
      <c r="L191" s="1"/>
      <c r="M191" s="1"/>
      <c r="N191" s="1"/>
      <c r="O191" s="1"/>
      <c r="P191" s="161"/>
      <c r="Q191" s="571"/>
      <c r="S191" s="58"/>
    </row>
    <row r="192" spans="2:21" x14ac:dyDescent="0.2">
      <c r="B192" s="296"/>
      <c r="C192" s="150">
        <f>C114</f>
        <v>0</v>
      </c>
      <c r="D192" s="902">
        <f>'Previsión de Gastos'!C53+'Previsión de Gastos'!C53*'Previsión de Gastos'!$P53</f>
        <v>0</v>
      </c>
      <c r="E192" s="299">
        <f>'Previsión de Gastos'!D53+'Previsión de Gastos'!D53*'Previsión de Gastos'!$P53</f>
        <v>0</v>
      </c>
      <c r="F192" s="299">
        <f>'Previsión de Gastos'!E53+'Previsión de Gastos'!E53*'Previsión de Gastos'!$P53</f>
        <v>0</v>
      </c>
      <c r="G192" s="299">
        <f>'Previsión de Gastos'!F53+'Previsión de Gastos'!F53*'Previsión de Gastos'!$P53</f>
        <v>0</v>
      </c>
      <c r="H192" s="299">
        <f>'Previsión de Gastos'!G53+'Previsión de Gastos'!G53*'Previsión de Gastos'!$P53</f>
        <v>0</v>
      </c>
      <c r="I192" s="299">
        <f>'Previsión de Gastos'!H53+'Previsión de Gastos'!H53*'Previsión de Gastos'!$P53</f>
        <v>0</v>
      </c>
      <c r="J192" s="299">
        <f>'Previsión de Gastos'!I53+'Previsión de Gastos'!I53*'Previsión de Gastos'!$P53</f>
        <v>0</v>
      </c>
      <c r="K192" s="299">
        <f>'Previsión de Gastos'!J53+'Previsión de Gastos'!J53*'Previsión de Gastos'!$P53</f>
        <v>0</v>
      </c>
      <c r="L192" s="299">
        <f>'Previsión de Gastos'!K53+'Previsión de Gastos'!K53*'Previsión de Gastos'!$P53</f>
        <v>0</v>
      </c>
      <c r="M192" s="299">
        <f>'Previsión de Gastos'!L53+'Previsión de Gastos'!L53*'Previsión de Gastos'!$P53</f>
        <v>0</v>
      </c>
      <c r="N192" s="299">
        <f>'Previsión de Gastos'!M53+'Previsión de Gastos'!M53*'Previsión de Gastos'!$P53</f>
        <v>0</v>
      </c>
      <c r="O192" s="299">
        <f>'Previsión de Gastos'!N53+'Previsión de Gastos'!N53*'Previsión de Gastos'!$P53</f>
        <v>0</v>
      </c>
      <c r="P192" s="638"/>
      <c r="Q192" s="1194">
        <f t="shared" si="16"/>
        <v>0</v>
      </c>
      <c r="S192" s="58"/>
    </row>
    <row r="193" spans="2:21" x14ac:dyDescent="0.2">
      <c r="B193" s="296"/>
      <c r="C193" s="156">
        <f>C115</f>
        <v>0</v>
      </c>
      <c r="D193" s="905">
        <f>'Previsión de Gastos'!C54+'Previsión de Gastos'!C54*'Previsión de Gastos'!$P54</f>
        <v>0</v>
      </c>
      <c r="E193" s="289">
        <f>'Previsión de Gastos'!D54+'Previsión de Gastos'!D54*'Previsión de Gastos'!$P54</f>
        <v>0</v>
      </c>
      <c r="F193" s="289">
        <f>'Previsión de Gastos'!E54+'Previsión de Gastos'!E54*'Previsión de Gastos'!$P54</f>
        <v>0</v>
      </c>
      <c r="G193" s="289">
        <f>'Previsión de Gastos'!F54+'Previsión de Gastos'!F54*'Previsión de Gastos'!$P54</f>
        <v>0</v>
      </c>
      <c r="H193" s="289">
        <f>'Previsión de Gastos'!G54+'Previsión de Gastos'!G54*'Previsión de Gastos'!$P54</f>
        <v>0</v>
      </c>
      <c r="I193" s="289">
        <f>'Previsión de Gastos'!H54+'Previsión de Gastos'!H54*'Previsión de Gastos'!$P54</f>
        <v>0</v>
      </c>
      <c r="J193" s="289">
        <f>'Previsión de Gastos'!I54+'Previsión de Gastos'!I54*'Previsión de Gastos'!$P54</f>
        <v>0</v>
      </c>
      <c r="K193" s="289">
        <f>'Previsión de Gastos'!J54+'Previsión de Gastos'!J54*'Previsión de Gastos'!$P54</f>
        <v>0</v>
      </c>
      <c r="L193" s="289">
        <f>'Previsión de Gastos'!K54+'Previsión de Gastos'!K54*'Previsión de Gastos'!$P54</f>
        <v>0</v>
      </c>
      <c r="M193" s="289">
        <f>'Previsión de Gastos'!L54+'Previsión de Gastos'!L54*'Previsión de Gastos'!$P54</f>
        <v>0</v>
      </c>
      <c r="N193" s="289">
        <f>'Previsión de Gastos'!M54+'Previsión de Gastos'!M54*'Previsión de Gastos'!$P54</f>
        <v>0</v>
      </c>
      <c r="O193" s="289">
        <f>'Previsión de Gastos'!N54+'Previsión de Gastos'!N54*'Previsión de Gastos'!$P54</f>
        <v>0</v>
      </c>
      <c r="P193" s="637"/>
      <c r="Q193" s="1193">
        <f t="shared" ref="Q193:Q205" si="31">SUM(D193:P193)</f>
        <v>0</v>
      </c>
      <c r="S193" s="58"/>
    </row>
    <row r="194" spans="2:21" x14ac:dyDescent="0.2">
      <c r="B194" s="859" t="str">
        <f>B116</f>
        <v>Total Ingresos financieros</v>
      </c>
      <c r="C194" s="476"/>
      <c r="D194" s="906">
        <f t="shared" ref="D194:P194" si="32">SUM(D192:D193)</f>
        <v>0</v>
      </c>
      <c r="E194" s="201">
        <f t="shared" si="32"/>
        <v>0</v>
      </c>
      <c r="F194" s="201">
        <f t="shared" si="32"/>
        <v>0</v>
      </c>
      <c r="G194" s="201">
        <f t="shared" si="32"/>
        <v>0</v>
      </c>
      <c r="H194" s="201">
        <f t="shared" si="32"/>
        <v>0</v>
      </c>
      <c r="I194" s="201">
        <f t="shared" si="32"/>
        <v>0</v>
      </c>
      <c r="J194" s="201">
        <f t="shared" si="32"/>
        <v>0</v>
      </c>
      <c r="K194" s="201">
        <f t="shared" si="32"/>
        <v>0</v>
      </c>
      <c r="L194" s="201">
        <f t="shared" si="32"/>
        <v>0</v>
      </c>
      <c r="M194" s="201">
        <f t="shared" si="32"/>
        <v>0</v>
      </c>
      <c r="N194" s="201">
        <f t="shared" si="32"/>
        <v>0</v>
      </c>
      <c r="O194" s="201">
        <f t="shared" si="32"/>
        <v>0</v>
      </c>
      <c r="P194" s="201">
        <f t="shared" si="32"/>
        <v>0</v>
      </c>
      <c r="Q194" s="877">
        <f t="shared" si="31"/>
        <v>0</v>
      </c>
      <c r="S194" s="58"/>
    </row>
    <row r="195" spans="2:21" x14ac:dyDescent="0.2">
      <c r="B195" s="210" t="str">
        <f>B117</f>
        <v>Gastos financieros:</v>
      </c>
      <c r="C195" s="1"/>
      <c r="D195" s="901"/>
      <c r="E195" s="624"/>
      <c r="F195" s="624"/>
      <c r="G195" s="624"/>
      <c r="H195" s="624"/>
      <c r="I195" s="624"/>
      <c r="J195" s="624"/>
      <c r="K195" s="624"/>
      <c r="L195" s="624"/>
      <c r="M195" s="624"/>
      <c r="N195" s="624"/>
      <c r="O195" s="624"/>
      <c r="P195" s="781"/>
      <c r="Q195" s="793"/>
      <c r="R195" s="624"/>
      <c r="S195" s="624"/>
      <c r="T195" s="624"/>
      <c r="U195" s="624"/>
    </row>
    <row r="196" spans="2:21" x14ac:dyDescent="0.2">
      <c r="B196" s="296"/>
      <c r="C196" s="150" t="str">
        <f>C118</f>
        <v>Gastos amortización préstamos Largo Plazo</v>
      </c>
      <c r="D196" s="908">
        <f ca="1">OFFSET('Préstamos LP'!$E$47,'Datos generales'!D1,0,1,1)</f>
        <v>0</v>
      </c>
      <c r="E196" s="787">
        <f ca="1">OFFSET('Préstamos LP'!$E$47,'Datos generales'!E1,0,1,1)</f>
        <v>0</v>
      </c>
      <c r="F196" s="787">
        <f ca="1">OFFSET('Préstamos LP'!$E$47,'Datos generales'!F1,0,1,1)</f>
        <v>0</v>
      </c>
      <c r="G196" s="787">
        <f ca="1">OFFSET('Préstamos LP'!$E$47,'Datos generales'!G1,0,1,1)</f>
        <v>0</v>
      </c>
      <c r="H196" s="787">
        <f ca="1">OFFSET('Préstamos LP'!$E$47,'Datos generales'!H1,0,1,1)</f>
        <v>0</v>
      </c>
      <c r="I196" s="787">
        <f ca="1">OFFSET('Préstamos LP'!$E$47,'Datos generales'!I1,0,1,1)</f>
        <v>0</v>
      </c>
      <c r="J196" s="787">
        <f ca="1">OFFSET('Préstamos LP'!$E$47,'Datos generales'!J1,0,1,1)</f>
        <v>0</v>
      </c>
      <c r="K196" s="787">
        <f ca="1">OFFSET('Préstamos LP'!$E$47,'Datos generales'!K1,0,1,1)</f>
        <v>0</v>
      </c>
      <c r="L196" s="787">
        <f ca="1">OFFSET('Préstamos LP'!$E$47,'Datos generales'!L1,0,1,1)</f>
        <v>0</v>
      </c>
      <c r="M196" s="787">
        <f ca="1">OFFSET('Préstamos LP'!$E$47,'Datos generales'!M1,0,1,1)</f>
        <v>0</v>
      </c>
      <c r="N196" s="787">
        <f ca="1">OFFSET('Préstamos LP'!$E$47,'Datos generales'!N1,0,1,1)</f>
        <v>0</v>
      </c>
      <c r="O196" s="787">
        <f ca="1">OFFSET('Préstamos LP'!$E$47,'Datos generales'!O1,0,1,1)</f>
        <v>0</v>
      </c>
      <c r="P196" s="788"/>
      <c r="Q196" s="1196">
        <f t="shared" ca="1" si="31"/>
        <v>0</v>
      </c>
      <c r="R196" s="624"/>
      <c r="S196" s="624"/>
      <c r="T196" s="624"/>
      <c r="U196" s="624"/>
    </row>
    <row r="197" spans="2:21" x14ac:dyDescent="0.2">
      <c r="B197" s="296"/>
      <c r="C197" s="150" t="s">
        <v>428</v>
      </c>
      <c r="D197" s="787">
        <f ca="1">OFFSET('Préstamos LP'!$D$47,'Datos generales'!D1,0,1,1)</f>
        <v>0</v>
      </c>
      <c r="E197" s="787">
        <f ca="1">OFFSET('Préstamos LP'!$D$47,'Datos generales'!E1,0,1,1)</f>
        <v>0</v>
      </c>
      <c r="F197" s="787">
        <f ca="1">OFFSET('Préstamos LP'!$D$47,'Datos generales'!F1,0,1,1)</f>
        <v>0</v>
      </c>
      <c r="G197" s="787">
        <f ca="1">OFFSET('Préstamos LP'!$D$47,'Datos generales'!G1,0,1,1)</f>
        <v>0</v>
      </c>
      <c r="H197" s="787">
        <f ca="1">OFFSET('Préstamos LP'!$D$47,'Datos generales'!H1,0,1,1)</f>
        <v>0</v>
      </c>
      <c r="I197" s="787">
        <f ca="1">OFFSET('Préstamos LP'!$D$47,'Datos generales'!I1,0,1,1)</f>
        <v>0</v>
      </c>
      <c r="J197" s="787">
        <f ca="1">OFFSET('Préstamos LP'!$D$47,'Datos generales'!J1,0,1,1)</f>
        <v>0</v>
      </c>
      <c r="K197" s="787">
        <f ca="1">OFFSET('Préstamos LP'!$D$47,'Datos generales'!K1,0,1,1)</f>
        <v>0</v>
      </c>
      <c r="L197" s="787">
        <f ca="1">OFFSET('Préstamos LP'!$D$47,'Datos generales'!L1,0,1,1)</f>
        <v>0</v>
      </c>
      <c r="M197" s="787">
        <f ca="1">OFFSET('Préstamos LP'!$D$47,'Datos generales'!M1,0,1,1)</f>
        <v>0</v>
      </c>
      <c r="N197" s="787">
        <f ca="1">OFFSET('Préstamos LP'!$D$47,'Datos generales'!N1,0,1,1)</f>
        <v>0</v>
      </c>
      <c r="O197" s="787">
        <f ca="1">OFFSET('Préstamos LP'!$D$47,'Datos generales'!O1,0,1,1)</f>
        <v>0</v>
      </c>
      <c r="P197" s="788"/>
      <c r="Q197" s="1193">
        <f t="shared" ca="1" si="31"/>
        <v>0</v>
      </c>
      <c r="R197" s="624"/>
      <c r="S197" s="58"/>
      <c r="T197" s="624"/>
      <c r="U197" s="624"/>
    </row>
    <row r="198" spans="2:21" x14ac:dyDescent="0.2">
      <c r="B198" s="296"/>
      <c r="C198" s="156" t="str">
        <f>C120</f>
        <v>Gastos amortización préstamos Corto Plazo</v>
      </c>
      <c r="D198" s="913">
        <f ca="1">OFFSET('Préstamos CP'!$D$36,'Datos generales'!D1,0,1,1)</f>
        <v>0</v>
      </c>
      <c r="E198" s="302">
        <f ca="1">OFFSET('Préstamos CP'!$D$36,'Datos generales'!E1,0,1,1)</f>
        <v>0</v>
      </c>
      <c r="F198" s="302">
        <f ca="1">OFFSET('Préstamos CP'!$D$36,'Datos generales'!F1,0,1,1)</f>
        <v>0</v>
      </c>
      <c r="G198" s="302">
        <f ca="1">OFFSET('Préstamos CP'!$D$36,'Datos generales'!G1,0,1,1)</f>
        <v>0</v>
      </c>
      <c r="H198" s="302">
        <f ca="1">OFFSET('Préstamos CP'!$D$36,'Datos generales'!H1,0,1,1)</f>
        <v>0</v>
      </c>
      <c r="I198" s="302">
        <f ca="1">OFFSET('Préstamos CP'!$D$36,'Datos generales'!I1,0,1,1)</f>
        <v>0</v>
      </c>
      <c r="J198" s="302">
        <f ca="1">OFFSET('Préstamos CP'!$D$36,'Datos generales'!J1,0,1,1)</f>
        <v>0</v>
      </c>
      <c r="K198" s="302">
        <f ca="1">OFFSET('Préstamos CP'!$D$36,'Datos generales'!K1,0,1,1)</f>
        <v>0</v>
      </c>
      <c r="L198" s="302">
        <f ca="1">OFFSET('Préstamos CP'!$D$36,'Datos generales'!L1,0,1,1)</f>
        <v>0</v>
      </c>
      <c r="M198" s="302">
        <f ca="1">OFFSET('Préstamos CP'!$D$36,'Datos generales'!M1,0,1,1)</f>
        <v>0</v>
      </c>
      <c r="N198" s="302">
        <f ca="1">OFFSET('Préstamos CP'!$D$36,'Datos generales'!N1,0,1,1)</f>
        <v>0</v>
      </c>
      <c r="O198" s="302">
        <f ca="1">OFFSET('Préstamos CP'!$D$36,'Datos generales'!O1,0,1,1)</f>
        <v>0</v>
      </c>
      <c r="P198" s="637"/>
      <c r="Q198" s="1193">
        <f t="shared" ca="1" si="31"/>
        <v>0</v>
      </c>
      <c r="S198" s="58"/>
    </row>
    <row r="199" spans="2:21" x14ac:dyDescent="0.2">
      <c r="B199" s="296"/>
      <c r="C199" s="156" t="str">
        <f>C121</f>
        <v>Arrendamientos Financieros</v>
      </c>
      <c r="D199" s="905">
        <f ca="1">OFFSET('Préstamos LP'!$V$47,'Datos generales'!D1,0,1,1)</f>
        <v>0</v>
      </c>
      <c r="E199" s="289">
        <f ca="1">OFFSET('Préstamos LP'!$V$47,'Datos generales'!E1,0,1,1)</f>
        <v>0</v>
      </c>
      <c r="F199" s="289">
        <f ca="1">OFFSET('Préstamos LP'!$V$47,'Datos generales'!F1,0,1,1)</f>
        <v>0</v>
      </c>
      <c r="G199" s="289">
        <f ca="1">OFFSET('Préstamos LP'!$V$47,'Datos generales'!G1,0,1,1)</f>
        <v>0</v>
      </c>
      <c r="H199" s="289">
        <f ca="1">OFFSET('Préstamos LP'!$V$47,'Datos generales'!H1,0,1,1)</f>
        <v>0</v>
      </c>
      <c r="I199" s="289">
        <f ca="1">OFFSET('Préstamos LP'!$V$47,'Datos generales'!I1,0,1,1)</f>
        <v>0</v>
      </c>
      <c r="J199" s="289">
        <f ca="1">OFFSET('Préstamos LP'!$V$47,'Datos generales'!J1,0,1,1)</f>
        <v>0</v>
      </c>
      <c r="K199" s="289">
        <f ca="1">OFFSET('Préstamos LP'!$V$47,'Datos generales'!K1,0,1,1)</f>
        <v>0</v>
      </c>
      <c r="L199" s="289">
        <f ca="1">OFFSET('Préstamos LP'!$V$47,'Datos generales'!L1,0,1,1)</f>
        <v>0</v>
      </c>
      <c r="M199" s="289">
        <f ca="1">OFFSET('Préstamos LP'!$V$47,'Datos generales'!M1,0,1,1)</f>
        <v>0</v>
      </c>
      <c r="N199" s="289">
        <f ca="1">OFFSET('Préstamos LP'!$V$47,'Datos generales'!N1,0,1,1)</f>
        <v>0</v>
      </c>
      <c r="O199" s="289">
        <f ca="1">OFFSET('Préstamos LP'!$V$47,'Datos generales'!O1,0,1,1)</f>
        <v>0</v>
      </c>
      <c r="P199" s="637"/>
      <c r="Q199" s="1193">
        <f t="shared" ca="1" si="31"/>
        <v>0</v>
      </c>
      <c r="S199" s="58"/>
    </row>
    <row r="200" spans="2:21" x14ac:dyDescent="0.2">
      <c r="B200" s="296"/>
      <c r="C200" s="156">
        <f>C122</f>
        <v>0</v>
      </c>
      <c r="D200" s="905">
        <f>'Previsión de Gastos'!C29+'Previsión de Gastos'!C29*'Previsión de Gastos'!$P29</f>
        <v>0</v>
      </c>
      <c r="E200" s="289">
        <f>'Previsión de Gastos'!D29+'Previsión de Gastos'!D29*'Previsión de Gastos'!$P29</f>
        <v>0</v>
      </c>
      <c r="F200" s="289">
        <f>'Previsión de Gastos'!E29+'Previsión de Gastos'!E29*'Previsión de Gastos'!$P29</f>
        <v>0</v>
      </c>
      <c r="G200" s="289">
        <f>'Previsión de Gastos'!F29+'Previsión de Gastos'!F29*'Previsión de Gastos'!$P29</f>
        <v>0</v>
      </c>
      <c r="H200" s="289">
        <f>'Previsión de Gastos'!G29+'Previsión de Gastos'!G29*'Previsión de Gastos'!$P29</f>
        <v>0</v>
      </c>
      <c r="I200" s="289">
        <f>'Previsión de Gastos'!H29+'Previsión de Gastos'!H29*'Previsión de Gastos'!$P29</f>
        <v>0</v>
      </c>
      <c r="J200" s="289">
        <f>'Previsión de Gastos'!I29+'Previsión de Gastos'!I29*'Previsión de Gastos'!$P29</f>
        <v>0</v>
      </c>
      <c r="K200" s="289">
        <f>'Previsión de Gastos'!J29+'Previsión de Gastos'!J29*'Previsión de Gastos'!$P29</f>
        <v>0</v>
      </c>
      <c r="L200" s="289">
        <f>'Previsión de Gastos'!K29+'Previsión de Gastos'!K29*'Previsión de Gastos'!$P29</f>
        <v>0</v>
      </c>
      <c r="M200" s="289">
        <f>'Previsión de Gastos'!L29+'Previsión de Gastos'!L29*'Previsión de Gastos'!$P29</f>
        <v>0</v>
      </c>
      <c r="N200" s="289">
        <f>'Previsión de Gastos'!M29+'Previsión de Gastos'!M29*'Previsión de Gastos'!$P29</f>
        <v>0</v>
      </c>
      <c r="O200" s="289">
        <f>'Previsión de Gastos'!N29+'Previsión de Gastos'!N29*'Previsión de Gastos'!$P29</f>
        <v>0</v>
      </c>
      <c r="P200" s="637"/>
      <c r="Q200" s="39">
        <f t="shared" si="31"/>
        <v>0</v>
      </c>
      <c r="S200" s="58"/>
    </row>
    <row r="201" spans="2:21" x14ac:dyDescent="0.2">
      <c r="B201" s="859" t="str">
        <f>B123</f>
        <v>Total Gastos financieros</v>
      </c>
      <c r="C201" s="476"/>
      <c r="D201" s="909">
        <f t="shared" ref="D201:P201" ca="1" si="33">SUM(D196:D200)</f>
        <v>0</v>
      </c>
      <c r="E201" s="865">
        <f t="shared" ca="1" si="33"/>
        <v>0</v>
      </c>
      <c r="F201" s="865">
        <f t="shared" ca="1" si="33"/>
        <v>0</v>
      </c>
      <c r="G201" s="865">
        <f t="shared" ca="1" si="33"/>
        <v>0</v>
      </c>
      <c r="H201" s="865">
        <f t="shared" ca="1" si="33"/>
        <v>0</v>
      </c>
      <c r="I201" s="865">
        <f t="shared" ca="1" si="33"/>
        <v>0</v>
      </c>
      <c r="J201" s="865">
        <f t="shared" ca="1" si="33"/>
        <v>0</v>
      </c>
      <c r="K201" s="865">
        <f t="shared" ca="1" si="33"/>
        <v>0</v>
      </c>
      <c r="L201" s="865">
        <f t="shared" ca="1" si="33"/>
        <v>0</v>
      </c>
      <c r="M201" s="865">
        <f t="shared" ca="1" si="33"/>
        <v>0</v>
      </c>
      <c r="N201" s="865">
        <f t="shared" ca="1" si="33"/>
        <v>0</v>
      </c>
      <c r="O201" s="865">
        <f t="shared" ca="1" si="33"/>
        <v>0</v>
      </c>
      <c r="P201" s="646">
        <f t="shared" si="33"/>
        <v>0</v>
      </c>
      <c r="Q201" s="878">
        <f t="shared" ca="1" si="31"/>
        <v>0</v>
      </c>
      <c r="R201" s="624"/>
      <c r="S201" s="624"/>
      <c r="T201" s="624"/>
      <c r="U201" s="624"/>
    </row>
    <row r="202" spans="2:21" x14ac:dyDescent="0.2">
      <c r="B202" s="210"/>
      <c r="C202" s="1"/>
      <c r="D202" s="893"/>
      <c r="E202" s="626"/>
      <c r="F202" s="626"/>
      <c r="G202" s="626"/>
      <c r="H202" s="626"/>
      <c r="I202" s="626"/>
      <c r="J202" s="626"/>
      <c r="K202" s="626"/>
      <c r="L202" s="626"/>
      <c r="M202" s="626"/>
      <c r="N202" s="626"/>
      <c r="O202" s="626"/>
      <c r="P202" s="792"/>
      <c r="Q202" s="793"/>
      <c r="R202" s="624"/>
      <c r="S202" s="624"/>
      <c r="T202" s="624"/>
      <c r="U202" s="624"/>
    </row>
    <row r="203" spans="2:21" ht="15.75" x14ac:dyDescent="0.25">
      <c r="B203" s="861" t="str">
        <f>B125</f>
        <v>RESULTADO FINANCIERO</v>
      </c>
      <c r="C203" s="872"/>
      <c r="D203" s="910">
        <f t="shared" ref="D203:P203" ca="1" si="34">+D194-D201</f>
        <v>0</v>
      </c>
      <c r="E203" s="869">
        <f t="shared" ca="1" si="34"/>
        <v>0</v>
      </c>
      <c r="F203" s="869">
        <f t="shared" ca="1" si="34"/>
        <v>0</v>
      </c>
      <c r="G203" s="869">
        <f t="shared" ca="1" si="34"/>
        <v>0</v>
      </c>
      <c r="H203" s="869">
        <f t="shared" ca="1" si="34"/>
        <v>0</v>
      </c>
      <c r="I203" s="869">
        <f t="shared" ca="1" si="34"/>
        <v>0</v>
      </c>
      <c r="J203" s="869">
        <f t="shared" ca="1" si="34"/>
        <v>0</v>
      </c>
      <c r="K203" s="869">
        <f t="shared" ca="1" si="34"/>
        <v>0</v>
      </c>
      <c r="L203" s="869">
        <f t="shared" ca="1" si="34"/>
        <v>0</v>
      </c>
      <c r="M203" s="869">
        <f t="shared" ca="1" si="34"/>
        <v>0</v>
      </c>
      <c r="N203" s="869">
        <f t="shared" ca="1" si="34"/>
        <v>0</v>
      </c>
      <c r="O203" s="869">
        <f t="shared" ca="1" si="34"/>
        <v>0</v>
      </c>
      <c r="P203" s="870">
        <f t="shared" si="34"/>
        <v>0</v>
      </c>
      <c r="Q203" s="1043">
        <f t="shared" ca="1" si="31"/>
        <v>0</v>
      </c>
      <c r="R203" s="624"/>
      <c r="S203" s="624"/>
      <c r="T203" s="624"/>
      <c r="U203" s="624"/>
    </row>
    <row r="204" spans="2:21" ht="15.75" x14ac:dyDescent="0.25">
      <c r="B204" s="562"/>
      <c r="C204" s="1"/>
      <c r="D204" s="893"/>
      <c r="E204" s="626"/>
      <c r="F204" s="626"/>
      <c r="G204" s="626"/>
      <c r="H204" s="626"/>
      <c r="I204" s="626"/>
      <c r="J204" s="626"/>
      <c r="K204" s="626"/>
      <c r="L204" s="626"/>
      <c r="M204" s="626"/>
      <c r="N204" s="626"/>
      <c r="O204" s="626"/>
      <c r="P204" s="781"/>
      <c r="Q204" s="793"/>
      <c r="R204" s="624"/>
      <c r="S204" s="624"/>
      <c r="T204" s="624"/>
      <c r="U204" s="624"/>
    </row>
    <row r="205" spans="2:21" ht="16.5" thickBot="1" x14ac:dyDescent="0.3">
      <c r="B205" s="643" t="str">
        <f>B127</f>
        <v>RESULTADO ANTES DE IMPUESTOS</v>
      </c>
      <c r="C205" s="644"/>
      <c r="D205" s="1026">
        <f t="shared" ref="D205:P205" ca="1" si="35">+D190+D203</f>
        <v>0</v>
      </c>
      <c r="E205" s="1027">
        <f t="shared" ca="1" si="35"/>
        <v>0</v>
      </c>
      <c r="F205" s="1027">
        <f t="shared" ca="1" si="35"/>
        <v>0</v>
      </c>
      <c r="G205" s="1027">
        <f t="shared" ca="1" si="35"/>
        <v>0</v>
      </c>
      <c r="H205" s="1027">
        <f t="shared" ca="1" si="35"/>
        <v>0</v>
      </c>
      <c r="I205" s="1027">
        <f t="shared" ca="1" si="35"/>
        <v>0</v>
      </c>
      <c r="J205" s="1027">
        <f t="shared" ca="1" si="35"/>
        <v>0</v>
      </c>
      <c r="K205" s="1027">
        <f t="shared" ca="1" si="35"/>
        <v>0</v>
      </c>
      <c r="L205" s="1027">
        <f t="shared" ca="1" si="35"/>
        <v>0</v>
      </c>
      <c r="M205" s="1028">
        <f t="shared" ca="1" si="35"/>
        <v>0</v>
      </c>
      <c r="N205" s="1027">
        <f t="shared" ca="1" si="35"/>
        <v>0</v>
      </c>
      <c r="O205" s="1027">
        <f t="shared" ca="1" si="35"/>
        <v>0</v>
      </c>
      <c r="P205" s="1029">
        <f t="shared" si="35"/>
        <v>0</v>
      </c>
      <c r="Q205" s="1030">
        <f t="shared" ca="1" si="31"/>
        <v>0</v>
      </c>
      <c r="R205" s="624"/>
      <c r="S205" s="759"/>
      <c r="T205" s="624"/>
      <c r="U205" s="624"/>
    </row>
    <row r="206" spans="2:21" ht="13.5" thickTop="1" x14ac:dyDescent="0.2">
      <c r="C206" s="307" t="str">
        <f>IF('Datos generales'!$D$22&lt;=0, "(*)   En empresas que no repercuten IVA. El importe de Compras aparece incrementado en este impuesto ","")</f>
        <v/>
      </c>
      <c r="D206" s="896"/>
      <c r="E206" s="625"/>
      <c r="F206" s="625"/>
      <c r="G206" s="625"/>
      <c r="H206" s="625"/>
      <c r="I206" s="625"/>
      <c r="J206" s="625"/>
      <c r="K206" s="625"/>
      <c r="L206" s="625"/>
      <c r="M206" s="625"/>
      <c r="N206" s="625"/>
      <c r="O206" s="625"/>
      <c r="P206" s="624"/>
      <c r="Q206" s="626"/>
      <c r="R206" s="624"/>
      <c r="S206" s="624"/>
      <c r="T206" s="624"/>
      <c r="U206" s="624"/>
    </row>
    <row r="207" spans="2:21" x14ac:dyDescent="0.2">
      <c r="C207" s="114"/>
      <c r="D207" s="901"/>
      <c r="E207" s="624"/>
      <c r="F207" s="624"/>
      <c r="G207" s="624"/>
      <c r="H207" s="624"/>
      <c r="I207" s="624"/>
      <c r="J207" s="624"/>
      <c r="K207" s="624"/>
      <c r="L207" s="624"/>
      <c r="M207" s="624"/>
      <c r="N207" s="624"/>
      <c r="O207" s="624"/>
      <c r="P207" s="624"/>
      <c r="Q207" s="624"/>
      <c r="R207" s="624"/>
      <c r="S207" s="624"/>
      <c r="T207" s="624"/>
      <c r="U207" s="624"/>
    </row>
    <row r="208" spans="2:21" x14ac:dyDescent="0.2">
      <c r="D208" s="901"/>
      <c r="E208" s="624"/>
      <c r="F208" s="624"/>
      <c r="G208" s="624"/>
      <c r="H208" s="624"/>
      <c r="I208" s="624"/>
      <c r="J208" s="624"/>
      <c r="K208" s="624"/>
      <c r="L208" s="624"/>
      <c r="M208" s="624"/>
      <c r="N208" s="624"/>
      <c r="O208" s="624"/>
      <c r="P208" s="624"/>
      <c r="Q208" s="624"/>
      <c r="R208" s="624"/>
      <c r="S208" s="624"/>
      <c r="T208" s="624"/>
      <c r="U208" s="624"/>
    </row>
    <row r="209" spans="2:21" ht="16.5" thickBot="1" x14ac:dyDescent="0.3">
      <c r="B209" s="4"/>
      <c r="C209" s="138" t="s">
        <v>430</v>
      </c>
      <c r="D209" s="914"/>
      <c r="E209" s="795"/>
      <c r="F209" s="624"/>
      <c r="G209" s="795"/>
      <c r="H209" s="795"/>
      <c r="I209" s="624"/>
      <c r="J209" s="677"/>
      <c r="K209" s="795"/>
      <c r="L209" s="795"/>
      <c r="M209" s="795"/>
      <c r="N209" s="795"/>
      <c r="O209" s="795"/>
      <c r="P209" s="795"/>
      <c r="Q209" s="795"/>
      <c r="R209" s="624"/>
      <c r="S209" s="624"/>
      <c r="T209" s="624"/>
      <c r="U209" s="624"/>
    </row>
    <row r="210" spans="2:21" ht="23.25" thickTop="1" x14ac:dyDescent="0.2">
      <c r="B210" s="1375" t="str">
        <f>B13</f>
        <v>Conceptos</v>
      </c>
      <c r="C210" s="1376"/>
      <c r="D210" s="915" t="s">
        <v>296</v>
      </c>
      <c r="E210" s="796" t="s">
        <v>297</v>
      </c>
      <c r="F210" s="796" t="s">
        <v>298</v>
      </c>
      <c r="G210" s="796" t="s">
        <v>120</v>
      </c>
      <c r="H210" s="796" t="s">
        <v>121</v>
      </c>
      <c r="I210" s="796" t="s">
        <v>122</v>
      </c>
      <c r="J210" s="796" t="s">
        <v>123</v>
      </c>
      <c r="K210" s="796" t="s">
        <v>299</v>
      </c>
      <c r="L210" s="796" t="s">
        <v>300</v>
      </c>
      <c r="M210" s="796" t="s">
        <v>301</v>
      </c>
      <c r="N210" s="796" t="s">
        <v>302</v>
      </c>
      <c r="O210" s="796" t="s">
        <v>303</v>
      </c>
      <c r="P210" s="635" t="s">
        <v>413</v>
      </c>
      <c r="Q210" s="802" t="s">
        <v>129</v>
      </c>
      <c r="R210" s="624"/>
      <c r="S210" s="624"/>
      <c r="T210" s="624"/>
      <c r="U210" s="624"/>
    </row>
    <row r="211" spans="2:21" x14ac:dyDescent="0.2">
      <c r="B211" s="100" t="str">
        <f>B53</f>
        <v>Importe neto de la cifra de negocios:</v>
      </c>
      <c r="C211" s="300"/>
      <c r="D211" s="895">
        <f>'Presupuesto de ventas'!D112</f>
        <v>0</v>
      </c>
      <c r="E211" s="895">
        <f>'Presupuesto de ventas'!E112</f>
        <v>0</v>
      </c>
      <c r="F211" s="895">
        <f>'Presupuesto de ventas'!F112</f>
        <v>0</v>
      </c>
      <c r="G211" s="895">
        <f>'Presupuesto de ventas'!G112</f>
        <v>0</v>
      </c>
      <c r="H211" s="895">
        <f>'Presupuesto de ventas'!H112</f>
        <v>0</v>
      </c>
      <c r="I211" s="895">
        <f>'Presupuesto de ventas'!I112</f>
        <v>0</v>
      </c>
      <c r="J211" s="895">
        <f>'Presupuesto de ventas'!J112</f>
        <v>0</v>
      </c>
      <c r="K211" s="895">
        <f>'Presupuesto de ventas'!K112</f>
        <v>0</v>
      </c>
      <c r="L211" s="895">
        <f>'Presupuesto de ventas'!L112</f>
        <v>0</v>
      </c>
      <c r="M211" s="895">
        <f>'Presupuesto de ventas'!M112</f>
        <v>0</v>
      </c>
      <c r="N211" s="895">
        <f>'Presupuesto de ventas'!N112</f>
        <v>0</v>
      </c>
      <c r="O211" s="895">
        <f>'Presupuesto de ventas'!O112</f>
        <v>0</v>
      </c>
      <c r="P211" s="647"/>
      <c r="Q211" s="798">
        <f>SUM(D211:P211)</f>
        <v>0</v>
      </c>
      <c r="R211" s="624"/>
      <c r="S211" s="624"/>
      <c r="T211" s="624"/>
      <c r="U211" s="624"/>
    </row>
    <row r="212" spans="2:21" ht="27" customHeight="1" x14ac:dyDescent="0.2">
      <c r="B212" s="1372" t="str">
        <f>B54</f>
        <v>Variación de existencias de productos terminados y en curso de fabricación:</v>
      </c>
      <c r="C212" s="1373"/>
      <c r="D212" s="289">
        <f>IF('Datos generales'!$D$22&lt;=0,'Margen B'!C261,'Margen B'!C260)</f>
        <v>0</v>
      </c>
      <c r="E212" s="289">
        <f>IF('Datos generales'!$D$22&lt;=0,'Margen B'!D261,'Margen B'!D260)</f>
        <v>0</v>
      </c>
      <c r="F212" s="289">
        <f>IF('Datos generales'!$D$22&lt;=0,'Margen B'!E261,'Margen B'!E260)</f>
        <v>0</v>
      </c>
      <c r="G212" s="289">
        <f>IF('Datos generales'!$D$22&lt;=0,'Margen B'!F261,'Margen B'!F260)</f>
        <v>0</v>
      </c>
      <c r="H212" s="289">
        <f>IF('Datos generales'!$D$22&lt;=0,'Margen B'!G261,'Margen B'!G260)</f>
        <v>0</v>
      </c>
      <c r="I212" s="289">
        <f>IF('Datos generales'!$D$22&lt;=0,'Margen B'!H261,'Margen B'!H260)</f>
        <v>0</v>
      </c>
      <c r="J212" s="289">
        <f>IF('Datos generales'!$D$22&lt;=0,'Margen B'!I261,'Margen B'!I260)</f>
        <v>0</v>
      </c>
      <c r="K212" s="289">
        <f>IF('Datos generales'!$D$22&lt;=0,'Margen B'!J261,'Margen B'!J260)</f>
        <v>0</v>
      </c>
      <c r="L212" s="289">
        <f>IF('Datos generales'!$D$22&lt;=0,'Margen B'!K261,'Margen B'!K260)</f>
        <v>0</v>
      </c>
      <c r="M212" s="289">
        <f>IF('Datos generales'!$D$22&lt;=0,'Margen B'!L261,'Margen B'!L260)</f>
        <v>0</v>
      </c>
      <c r="N212" s="289">
        <f>IF('Datos generales'!$D$22&lt;=0,'Margen B'!M261,'Margen B'!M260)</f>
        <v>0</v>
      </c>
      <c r="O212" s="289">
        <f>IF('Datos generales'!$D$22&lt;=0,'Margen B'!N261,'Margen B'!N260)</f>
        <v>0</v>
      </c>
      <c r="P212" s="744">
        <f>IF('Datos generales'!D22&lt;=0, 'Margen B'!P261-'Margen B'!P202-'Margen B'!O261, 'Margen B'!P260-'Margen B'!P201-'Margen B'!O260)</f>
        <v>0</v>
      </c>
      <c r="Q212" s="920">
        <f>SUM(D212:P212)</f>
        <v>0</v>
      </c>
      <c r="R212" s="624"/>
      <c r="S212" s="624"/>
      <c r="T212" s="624"/>
      <c r="U212" s="624"/>
    </row>
    <row r="213" spans="2:21" ht="15.75" x14ac:dyDescent="0.25">
      <c r="B213" s="100" t="str">
        <f>B55</f>
        <v>Trabajos realizados por la empresa para su activo:</v>
      </c>
      <c r="C213" s="631"/>
      <c r="D213" s="629"/>
      <c r="E213" s="629"/>
      <c r="F213" s="629"/>
      <c r="G213" s="629"/>
      <c r="H213" s="629"/>
      <c r="I213" s="629"/>
      <c r="J213" s="629"/>
      <c r="K213" s="629"/>
      <c r="L213" s="629"/>
      <c r="M213" s="629"/>
      <c r="N213" s="629"/>
      <c r="O213" s="629"/>
      <c r="P213" s="636"/>
      <c r="Q213" s="363"/>
      <c r="S213" s="58"/>
    </row>
    <row r="214" spans="2:21" ht="15.75" x14ac:dyDescent="0.25">
      <c r="B214" s="563" t="str">
        <f>B56</f>
        <v>Aprovisionamientos:</v>
      </c>
      <c r="C214" s="75"/>
      <c r="D214" s="900"/>
      <c r="E214" s="677"/>
      <c r="F214" s="677"/>
      <c r="G214" s="677"/>
      <c r="H214" s="677"/>
      <c r="I214" s="677"/>
      <c r="J214" s="677"/>
      <c r="K214" s="677"/>
      <c r="L214" s="677"/>
      <c r="M214" s="677"/>
      <c r="N214" s="677"/>
      <c r="O214" s="677"/>
      <c r="P214" s="784"/>
      <c r="Q214" s="793"/>
      <c r="R214" s="624"/>
      <c r="S214" s="624"/>
      <c r="T214" s="624"/>
      <c r="U214" s="624"/>
    </row>
    <row r="215" spans="2:21" x14ac:dyDescent="0.2">
      <c r="B215" s="560"/>
      <c r="C215" t="s">
        <v>417</v>
      </c>
      <c r="D215" s="896">
        <f>'Margen B'!D220</f>
        <v>0</v>
      </c>
      <c r="E215" s="625">
        <f>'Margen B'!E220</f>
        <v>0</v>
      </c>
      <c r="F215" s="625">
        <f>'Margen B'!F220</f>
        <v>0</v>
      </c>
      <c r="G215" s="625">
        <f>'Margen B'!G220</f>
        <v>0</v>
      </c>
      <c r="H215" s="625">
        <f>'Margen B'!H220</f>
        <v>0</v>
      </c>
      <c r="I215" s="625">
        <f>'Margen B'!I220</f>
        <v>0</v>
      </c>
      <c r="J215" s="625">
        <f>'Margen B'!J220</f>
        <v>0</v>
      </c>
      <c r="K215" s="625">
        <f>'Margen B'!K220</f>
        <v>0</v>
      </c>
      <c r="L215" s="625">
        <f>'Margen B'!L220</f>
        <v>0</v>
      </c>
      <c r="M215" s="625">
        <f>'Margen B'!M220</f>
        <v>0</v>
      </c>
      <c r="N215" s="625">
        <f>'Margen B'!N220</f>
        <v>0</v>
      </c>
      <c r="O215" s="625">
        <f>'Margen B'!O220</f>
        <v>0</v>
      </c>
      <c r="P215" s="781"/>
      <c r="Q215" s="1196">
        <f>SUM(D215:P215)</f>
        <v>0</v>
      </c>
      <c r="R215" s="624"/>
      <c r="S215" s="624"/>
      <c r="T215" s="624"/>
      <c r="U215" s="624"/>
    </row>
    <row r="216" spans="2:21" ht="25.5" x14ac:dyDescent="0.2">
      <c r="B216" s="560"/>
      <c r="C216" s="978" t="s">
        <v>418</v>
      </c>
      <c r="D216" s="897">
        <f>'Margen B'!D234</f>
        <v>0</v>
      </c>
      <c r="E216" s="897">
        <f>'Margen B'!E234</f>
        <v>0</v>
      </c>
      <c r="F216" s="897">
        <f>'Margen B'!F234</f>
        <v>0</v>
      </c>
      <c r="G216" s="897">
        <f>'Margen B'!G234</f>
        <v>0</v>
      </c>
      <c r="H216" s="897">
        <f>'Margen B'!H234</f>
        <v>0</v>
      </c>
      <c r="I216" s="897">
        <f>'Margen B'!I234</f>
        <v>0</v>
      </c>
      <c r="J216" s="897">
        <f>'Margen B'!J234</f>
        <v>0</v>
      </c>
      <c r="K216" s="897">
        <f>'Margen B'!K234</f>
        <v>0</v>
      </c>
      <c r="L216" s="897">
        <f>'Margen B'!L234</f>
        <v>0</v>
      </c>
      <c r="M216" s="897">
        <f>'Margen B'!M234</f>
        <v>0</v>
      </c>
      <c r="N216" s="897">
        <f>'Margen B'!N234</f>
        <v>0</v>
      </c>
      <c r="O216" s="897">
        <f>'Margen B'!O234</f>
        <v>0</v>
      </c>
      <c r="P216" s="647"/>
      <c r="Q216" s="1197">
        <f>SUM(D216:P216)</f>
        <v>0</v>
      </c>
      <c r="R216" s="624"/>
      <c r="S216" s="624"/>
      <c r="T216" s="624"/>
      <c r="U216" s="624"/>
    </row>
    <row r="217" spans="2:21" ht="25.5" x14ac:dyDescent="0.2">
      <c r="B217" s="980"/>
      <c r="C217" s="978" t="s">
        <v>136</v>
      </c>
      <c r="D217" s="903">
        <f>'Margen B'!D244</f>
        <v>0</v>
      </c>
      <c r="E217" s="903">
        <f>'Margen B'!E244</f>
        <v>0</v>
      </c>
      <c r="F217" s="903">
        <f>'Margen B'!F244</f>
        <v>0</v>
      </c>
      <c r="G217" s="903">
        <f>'Margen B'!G244</f>
        <v>0</v>
      </c>
      <c r="H217" s="903">
        <f>'Margen B'!H244</f>
        <v>0</v>
      </c>
      <c r="I217" s="903">
        <f>'Margen B'!I244</f>
        <v>0</v>
      </c>
      <c r="J217" s="903">
        <f>'Margen B'!J244</f>
        <v>0</v>
      </c>
      <c r="K217" s="903">
        <f>'Margen B'!K244</f>
        <v>0</v>
      </c>
      <c r="L217" s="903">
        <f>'Margen B'!L244</f>
        <v>0</v>
      </c>
      <c r="M217" s="903">
        <f>'Margen B'!M244</f>
        <v>0</v>
      </c>
      <c r="N217" s="903">
        <f>'Margen B'!N244</f>
        <v>0</v>
      </c>
      <c r="O217" s="903">
        <f>'Margen B'!O244</f>
        <v>0</v>
      </c>
      <c r="P217" s="787"/>
      <c r="Q217" s="672">
        <f>SUM(D217:P217)</f>
        <v>0</v>
      </c>
      <c r="R217" s="624"/>
      <c r="S217" s="624"/>
      <c r="T217" s="624"/>
      <c r="U217" s="624"/>
    </row>
    <row r="218" spans="2:21" ht="15.75" x14ac:dyDescent="0.25">
      <c r="B218" s="861" t="str">
        <f>B60</f>
        <v>Total Aprovisionamientos</v>
      </c>
      <c r="C218" s="876"/>
      <c r="D218" s="910">
        <f>SUM(D215:D217)+D212</f>
        <v>0</v>
      </c>
      <c r="E218" s="910">
        <f t="shared" ref="E218:O218" si="36">SUM(E215:E217)+E212</f>
        <v>0</v>
      </c>
      <c r="F218" s="910">
        <f t="shared" si="36"/>
        <v>0</v>
      </c>
      <c r="G218" s="910">
        <f t="shared" si="36"/>
        <v>0</v>
      </c>
      <c r="H218" s="910">
        <f t="shared" si="36"/>
        <v>0</v>
      </c>
      <c r="I218" s="910">
        <f t="shared" si="36"/>
        <v>0</v>
      </c>
      <c r="J218" s="910">
        <f t="shared" si="36"/>
        <v>0</v>
      </c>
      <c r="K218" s="910">
        <f t="shared" si="36"/>
        <v>0</v>
      </c>
      <c r="L218" s="910">
        <f t="shared" si="36"/>
        <v>0</v>
      </c>
      <c r="M218" s="910">
        <f t="shared" si="36"/>
        <v>0</v>
      </c>
      <c r="N218" s="910">
        <f t="shared" si="36"/>
        <v>0</v>
      </c>
      <c r="O218" s="910">
        <f t="shared" si="36"/>
        <v>0</v>
      </c>
      <c r="P218" s="870"/>
      <c r="Q218" s="871">
        <f>SUM(D218:P218)</f>
        <v>0</v>
      </c>
      <c r="R218" s="624"/>
      <c r="S218" s="624"/>
      <c r="T218" s="624"/>
      <c r="U218" s="624"/>
    </row>
    <row r="219" spans="2:21" x14ac:dyDescent="0.2">
      <c r="B219" s="632" t="str">
        <f>B61</f>
        <v>Otros ingresos de explotación</v>
      </c>
      <c r="C219" s="150"/>
      <c r="D219" s="290"/>
      <c r="E219" s="290"/>
      <c r="F219" s="290"/>
      <c r="G219" s="290"/>
      <c r="H219" s="290"/>
      <c r="I219" s="290"/>
      <c r="J219" s="290"/>
      <c r="K219" s="290"/>
      <c r="L219" s="290"/>
      <c r="M219" s="290"/>
      <c r="N219" s="290"/>
      <c r="O219" s="290"/>
      <c r="P219" s="161"/>
      <c r="Q219" s="645">
        <f>SUM(D219:P219)</f>
        <v>0</v>
      </c>
      <c r="S219" s="58"/>
    </row>
    <row r="220" spans="2:21" ht="13.5" customHeight="1" x14ac:dyDescent="0.2">
      <c r="B220" s="210"/>
      <c r="C220" s="1"/>
      <c r="D220" s="916"/>
      <c r="E220" s="799"/>
      <c r="F220" s="799"/>
      <c r="G220" s="799"/>
      <c r="H220" s="799"/>
      <c r="I220" s="799"/>
      <c r="J220" s="799"/>
      <c r="K220" s="799"/>
      <c r="L220" s="799"/>
      <c r="M220" s="799"/>
      <c r="N220" s="799"/>
      <c r="O220" s="799"/>
      <c r="P220" s="779"/>
      <c r="Q220" s="800"/>
      <c r="R220" s="624"/>
      <c r="S220" s="759"/>
      <c r="T220" s="624"/>
      <c r="U220" s="624"/>
    </row>
    <row r="221" spans="2:21" ht="15.75" x14ac:dyDescent="0.25">
      <c r="B221" s="861" t="str">
        <f>B63</f>
        <v>Margen Bruto s/Ventas</v>
      </c>
      <c r="C221" s="852"/>
      <c r="D221" s="910">
        <f t="shared" ref="D221:O221" si="37">+D211+D212-D218+D219</f>
        <v>0</v>
      </c>
      <c r="E221" s="869">
        <f t="shared" si="37"/>
        <v>0</v>
      </c>
      <c r="F221" s="869">
        <f t="shared" si="37"/>
        <v>0</v>
      </c>
      <c r="G221" s="869">
        <f t="shared" si="37"/>
        <v>0</v>
      </c>
      <c r="H221" s="869">
        <f t="shared" si="37"/>
        <v>0</v>
      </c>
      <c r="I221" s="869">
        <f t="shared" si="37"/>
        <v>0</v>
      </c>
      <c r="J221" s="869">
        <f t="shared" si="37"/>
        <v>0</v>
      </c>
      <c r="K221" s="869">
        <f t="shared" si="37"/>
        <v>0</v>
      </c>
      <c r="L221" s="869">
        <f t="shared" si="37"/>
        <v>0</v>
      </c>
      <c r="M221" s="869">
        <f t="shared" si="37"/>
        <v>0</v>
      </c>
      <c r="N221" s="869">
        <f t="shared" si="37"/>
        <v>0</v>
      </c>
      <c r="O221" s="869">
        <f t="shared" si="37"/>
        <v>0</v>
      </c>
      <c r="P221" s="869"/>
      <c r="Q221" s="1043">
        <f>SUM(D221:P221)</f>
        <v>0</v>
      </c>
      <c r="R221" s="624"/>
      <c r="S221" s="759"/>
      <c r="T221" s="624"/>
      <c r="U221" s="624"/>
    </row>
    <row r="222" spans="2:21" ht="5.25" customHeight="1" x14ac:dyDescent="0.25">
      <c r="B222" s="562"/>
      <c r="C222" s="75"/>
      <c r="D222" s="900"/>
      <c r="E222" s="677"/>
      <c r="F222" s="677"/>
      <c r="G222" s="677"/>
      <c r="H222" s="677"/>
      <c r="I222" s="677"/>
      <c r="J222" s="677"/>
      <c r="K222" s="677"/>
      <c r="L222" s="677"/>
      <c r="M222" s="677"/>
      <c r="N222" s="677"/>
      <c r="O222" s="677"/>
      <c r="P222" s="784"/>
      <c r="Q222" s="793"/>
      <c r="R222" s="624"/>
      <c r="S222" s="759"/>
      <c r="T222" s="624"/>
      <c r="U222" s="624"/>
    </row>
    <row r="223" spans="2:21" x14ac:dyDescent="0.2">
      <c r="B223" s="210" t="str">
        <f>B65</f>
        <v>Gastos de personal:</v>
      </c>
      <c r="D223" s="901"/>
      <c r="E223" s="624"/>
      <c r="F223" s="624"/>
      <c r="G223" s="624"/>
      <c r="H223" s="624"/>
      <c r="I223" s="624"/>
      <c r="J223" s="624"/>
      <c r="K223" s="624"/>
      <c r="L223" s="624"/>
      <c r="M223" s="624"/>
      <c r="N223" s="624"/>
      <c r="O223" s="624"/>
      <c r="P223" s="781"/>
      <c r="Q223" s="793"/>
      <c r="R223" s="624"/>
      <c r="S223" s="624"/>
      <c r="T223" s="624"/>
      <c r="U223" s="624"/>
    </row>
    <row r="224" spans="2:21" x14ac:dyDescent="0.2">
      <c r="B224" s="296"/>
      <c r="C224" s="150" t="str">
        <f t="shared" ref="C224:C229" si="38">C66</f>
        <v>Formación del personal</v>
      </c>
      <c r="D224" s="902">
        <f>D146+(D146*'Previsión de Gastos'!$Q13)</f>
        <v>0</v>
      </c>
      <c r="E224" s="299">
        <f>E146+(E146*'Previsión de Gastos'!$Q13)</f>
        <v>0</v>
      </c>
      <c r="F224" s="299">
        <f>F146+(F146*'Previsión de Gastos'!$Q13)</f>
        <v>0</v>
      </c>
      <c r="G224" s="299">
        <f>G146+(G146*'Previsión de Gastos'!$Q13)</f>
        <v>0</v>
      </c>
      <c r="H224" s="299">
        <f>H146+(H146*'Previsión de Gastos'!$Q13)</f>
        <v>0</v>
      </c>
      <c r="I224" s="299">
        <f>I146+(I146*'Previsión de Gastos'!$Q13)</f>
        <v>0</v>
      </c>
      <c r="J224" s="299">
        <f>J146+(J146*'Previsión de Gastos'!$Q13)</f>
        <v>0</v>
      </c>
      <c r="K224" s="299">
        <f>K146+(K146*'Previsión de Gastos'!$Q13)</f>
        <v>0</v>
      </c>
      <c r="L224" s="299">
        <f>L146+(L146*'Previsión de Gastos'!$Q13)</f>
        <v>0</v>
      </c>
      <c r="M224" s="299">
        <f>M146+(M146*'Previsión de Gastos'!$Q13)</f>
        <v>0</v>
      </c>
      <c r="N224" s="299">
        <f>N146+(N146*'Previsión de Gastos'!$Q13)</f>
        <v>0</v>
      </c>
      <c r="O224" s="299">
        <f>O146+(O146*'Previsión de Gastos'!$Q13)</f>
        <v>0</v>
      </c>
      <c r="P224" s="638"/>
      <c r="Q224" s="1194">
        <f t="shared" ref="Q224:Q229" si="39">SUM(D224:P224)</f>
        <v>0</v>
      </c>
      <c r="S224" s="58"/>
    </row>
    <row r="225" spans="2:21" x14ac:dyDescent="0.2">
      <c r="B225" s="296"/>
      <c r="C225" s="150" t="str">
        <f t="shared" si="38"/>
        <v>Promotor  (Sueldo + S.S.)</v>
      </c>
      <c r="D225" s="903">
        <f>IF('Previsión de Gastos'!$T$14&gt;'Datos generales'!E$1+24,0,'Previsión de Gastos'!C14+('Previsión de Gastos'!C14*'Previsión de Gastos'!$P14)+ 'Previsión de Gastos'!$Q14 *( 'Previsión de Gastos'!C14+('Previsión de Gastos'!C14*'Previsión de Gastos'!$P14)))</f>
        <v>0</v>
      </c>
      <c r="E225" s="903">
        <f>IF('Previsión de Gastos'!$T$14&gt;'Datos generales'!F$1+24,0,'Previsión de Gastos'!D14+('Previsión de Gastos'!D14*'Previsión de Gastos'!$P14)+ 'Previsión de Gastos'!$Q14 *( 'Previsión de Gastos'!D14+('Previsión de Gastos'!D14*'Previsión de Gastos'!$P14)))</f>
        <v>0</v>
      </c>
      <c r="F225" s="903">
        <f>IF('Previsión de Gastos'!$T$14&gt;'Datos generales'!G$1+24,0,'Previsión de Gastos'!E14+('Previsión de Gastos'!E14*'Previsión de Gastos'!$P14)+ 'Previsión de Gastos'!$Q14 *( 'Previsión de Gastos'!E14+('Previsión de Gastos'!E14*'Previsión de Gastos'!$P14)))</f>
        <v>0</v>
      </c>
      <c r="G225" s="903">
        <f>IF('Previsión de Gastos'!$T$14&gt;'Datos generales'!H$1+24,0,'Previsión de Gastos'!F14+('Previsión de Gastos'!F14*'Previsión de Gastos'!$P14)+ 'Previsión de Gastos'!$Q14 *( 'Previsión de Gastos'!F14+('Previsión de Gastos'!F14*'Previsión de Gastos'!$P14)))</f>
        <v>0</v>
      </c>
      <c r="H225" s="903">
        <f>IF('Previsión de Gastos'!$T$14&gt;'Datos generales'!I$1+24,0,'Previsión de Gastos'!G14+('Previsión de Gastos'!G14*'Previsión de Gastos'!$P14)+ 'Previsión de Gastos'!$Q14 *( 'Previsión de Gastos'!G14+('Previsión de Gastos'!G14*'Previsión de Gastos'!$P14)))</f>
        <v>0</v>
      </c>
      <c r="I225" s="903">
        <f>IF('Previsión de Gastos'!$T$14&gt;'Datos generales'!J$1+24,0,'Previsión de Gastos'!H14+('Previsión de Gastos'!H14*'Previsión de Gastos'!$P14)+ 'Previsión de Gastos'!$Q14 *( 'Previsión de Gastos'!H14+('Previsión de Gastos'!H14*'Previsión de Gastos'!$P14)))</f>
        <v>0</v>
      </c>
      <c r="J225" s="903">
        <f>IF('Previsión de Gastos'!$T$14&gt;'Datos generales'!K$1+24,0,'Previsión de Gastos'!I14+('Previsión de Gastos'!I14*'Previsión de Gastos'!$P14)+ 'Previsión de Gastos'!$Q14 *( 'Previsión de Gastos'!I14+('Previsión de Gastos'!I14*'Previsión de Gastos'!$P14)))</f>
        <v>0</v>
      </c>
      <c r="K225" s="903">
        <f>IF('Previsión de Gastos'!$T$14&gt;'Datos generales'!L$1+24,0,'Previsión de Gastos'!J14+('Previsión de Gastos'!J14*'Previsión de Gastos'!$P14)+ 'Previsión de Gastos'!$Q14 *( 'Previsión de Gastos'!J14+('Previsión de Gastos'!J14*'Previsión de Gastos'!$P14)))</f>
        <v>0</v>
      </c>
      <c r="L225" s="903">
        <f>IF('Previsión de Gastos'!$T$14&gt;'Datos generales'!M$1+24,0,'Previsión de Gastos'!K14+('Previsión de Gastos'!K14*'Previsión de Gastos'!$P14)+ 'Previsión de Gastos'!$Q14 *( 'Previsión de Gastos'!K14+('Previsión de Gastos'!K14*'Previsión de Gastos'!$P14)))</f>
        <v>0</v>
      </c>
      <c r="M225" s="903">
        <f>IF('Previsión de Gastos'!$T$14&gt;'Datos generales'!N$1+24,0,'Previsión de Gastos'!L14+('Previsión de Gastos'!L14*'Previsión de Gastos'!$P14)+ 'Previsión de Gastos'!$Q14 *( 'Previsión de Gastos'!L14+('Previsión de Gastos'!L14*'Previsión de Gastos'!$P14)))</f>
        <v>0</v>
      </c>
      <c r="N225" s="903">
        <f>IF('Previsión de Gastos'!$T$14&gt;'Datos generales'!O$1+24,0,'Previsión de Gastos'!M14+('Previsión de Gastos'!M14*'Previsión de Gastos'!$P14)+ 'Previsión de Gastos'!$Q14 *( 'Previsión de Gastos'!M14+('Previsión de Gastos'!M14*'Previsión de Gastos'!$P14)))</f>
        <v>0</v>
      </c>
      <c r="O225" s="903">
        <f>IF('Previsión de Gastos'!$T$14&gt;'Datos generales'!P$1+24,0,'Previsión de Gastos'!N14+('Previsión de Gastos'!N14*'Previsión de Gastos'!$P14)+ 'Previsión de Gastos'!$Q14 *( 'Previsión de Gastos'!N14+('Previsión de Gastos'!N14*'Previsión de Gastos'!$P14)))</f>
        <v>0</v>
      </c>
      <c r="P225" s="647"/>
      <c r="Q225" s="920">
        <f t="shared" si="39"/>
        <v>0</v>
      </c>
      <c r="R225" s="624"/>
      <c r="S225" s="624"/>
      <c r="T225" s="624"/>
      <c r="U225" s="624"/>
    </row>
    <row r="226" spans="2:21" x14ac:dyDescent="0.2">
      <c r="B226" s="296"/>
      <c r="C226" s="150" t="str">
        <f t="shared" si="38"/>
        <v>Asalariado (Sueldo + S.S.)</v>
      </c>
      <c r="D226" s="903">
        <f>IF('Previsión de Gastos'!$T$14&gt;'Datos generales'!E$1+24,0,'Previsión de Gastos'!C15+('Previsión de Gastos'!C15*'Previsión de Gastos'!$P15)+ 'Previsión de Gastos'!$Q15 *( 'Previsión de Gastos'!C15+('Previsión de Gastos'!C15*'Previsión de Gastos'!$P15)))</f>
        <v>0</v>
      </c>
      <c r="E226" s="903">
        <f>IF('Previsión de Gastos'!$T$14&gt;'Datos generales'!F$1+24,0,'Previsión de Gastos'!D15+('Previsión de Gastos'!D15*'Previsión de Gastos'!$P15)+ 'Previsión de Gastos'!$Q15 *( 'Previsión de Gastos'!D15+('Previsión de Gastos'!D15*'Previsión de Gastos'!$P15)))</f>
        <v>0</v>
      </c>
      <c r="F226" s="903">
        <f>IF('Previsión de Gastos'!$T$14&gt;'Datos generales'!G$1+24,0,'Previsión de Gastos'!E15+('Previsión de Gastos'!E15*'Previsión de Gastos'!$P15)+ 'Previsión de Gastos'!$Q15 *( 'Previsión de Gastos'!E15+('Previsión de Gastos'!E15*'Previsión de Gastos'!$P15)))</f>
        <v>0</v>
      </c>
      <c r="G226" s="903">
        <f>IF('Previsión de Gastos'!$T$14&gt;'Datos generales'!H$1+24,0,'Previsión de Gastos'!F15+('Previsión de Gastos'!F15*'Previsión de Gastos'!$P15)+ 'Previsión de Gastos'!$Q15 *( 'Previsión de Gastos'!F15+('Previsión de Gastos'!F15*'Previsión de Gastos'!$P15)))</f>
        <v>0</v>
      </c>
      <c r="H226" s="903">
        <f>IF('Previsión de Gastos'!$T$14&gt;'Datos generales'!I$1+24,0,'Previsión de Gastos'!G15+('Previsión de Gastos'!G15*'Previsión de Gastos'!$P15)+ 'Previsión de Gastos'!$Q15 *( 'Previsión de Gastos'!G15+('Previsión de Gastos'!G15*'Previsión de Gastos'!$P15)))</f>
        <v>0</v>
      </c>
      <c r="I226" s="903">
        <f>IF('Previsión de Gastos'!$T$14&gt;'Datos generales'!J$1+24,0,'Previsión de Gastos'!H15+('Previsión de Gastos'!H15*'Previsión de Gastos'!$P15)+ 'Previsión de Gastos'!$Q15 *( 'Previsión de Gastos'!H15+('Previsión de Gastos'!H15*'Previsión de Gastos'!$P15)))</f>
        <v>0</v>
      </c>
      <c r="J226" s="903">
        <f>IF('Previsión de Gastos'!$T$14&gt;'Datos generales'!K$1+24,0,'Previsión de Gastos'!I15+('Previsión de Gastos'!I15*'Previsión de Gastos'!$P15)+ 'Previsión de Gastos'!$Q15 *( 'Previsión de Gastos'!I15+('Previsión de Gastos'!I15*'Previsión de Gastos'!$P15)))</f>
        <v>0</v>
      </c>
      <c r="K226" s="903">
        <f>IF('Previsión de Gastos'!$T$14&gt;'Datos generales'!L$1+24,0,'Previsión de Gastos'!J15+('Previsión de Gastos'!J15*'Previsión de Gastos'!$P15)+ 'Previsión de Gastos'!$Q15 *( 'Previsión de Gastos'!J15+('Previsión de Gastos'!J15*'Previsión de Gastos'!$P15)))</f>
        <v>0</v>
      </c>
      <c r="L226" s="903">
        <f>IF('Previsión de Gastos'!$T$14&gt;'Datos generales'!M$1+24,0,'Previsión de Gastos'!K15+('Previsión de Gastos'!K15*'Previsión de Gastos'!$P15)+ 'Previsión de Gastos'!$Q15 *( 'Previsión de Gastos'!K15+('Previsión de Gastos'!K15*'Previsión de Gastos'!$P15)))</f>
        <v>0</v>
      </c>
      <c r="M226" s="903">
        <f>IF('Previsión de Gastos'!$T$14&gt;'Datos generales'!N$1+24,0,'Previsión de Gastos'!L15+('Previsión de Gastos'!L15*'Previsión de Gastos'!$P15)+ 'Previsión de Gastos'!$Q15 *( 'Previsión de Gastos'!L15+('Previsión de Gastos'!L15*'Previsión de Gastos'!$P15)))</f>
        <v>0</v>
      </c>
      <c r="N226" s="903">
        <f>IF('Previsión de Gastos'!$T$14&gt;'Datos generales'!O$1+24,0,'Previsión de Gastos'!M15+('Previsión de Gastos'!M15*'Previsión de Gastos'!$P15)+ 'Previsión de Gastos'!$Q15 *( 'Previsión de Gastos'!M15+('Previsión de Gastos'!M15*'Previsión de Gastos'!$P15)))</f>
        <v>0</v>
      </c>
      <c r="O226" s="903">
        <f>IF('Previsión de Gastos'!$T$14&gt;'Datos generales'!P$1+24,0,'Previsión de Gastos'!N15+('Previsión de Gastos'!N15*'Previsión de Gastos'!$P15)+ 'Previsión de Gastos'!$Q15 *( 'Previsión de Gastos'!N15+('Previsión de Gastos'!N15*'Previsión de Gastos'!$P15)))</f>
        <v>0</v>
      </c>
      <c r="P226" s="637"/>
      <c r="Q226" s="1193">
        <f t="shared" si="39"/>
        <v>0</v>
      </c>
      <c r="S226" s="58"/>
    </row>
    <row r="227" spans="2:21" x14ac:dyDescent="0.2">
      <c r="B227" s="296"/>
      <c r="C227" s="150">
        <f t="shared" si="38"/>
        <v>0</v>
      </c>
      <c r="D227" s="903">
        <f>IF('Previsión de Gastos'!$T$14&gt;'Datos generales'!E$1+24,0,'Previsión de Gastos'!C16+('Previsión de Gastos'!C16*'Previsión de Gastos'!$P16)+ 'Previsión de Gastos'!$Q16 *( 'Previsión de Gastos'!C16+('Previsión de Gastos'!C16*'Previsión de Gastos'!$P16)))</f>
        <v>0</v>
      </c>
      <c r="E227" s="903">
        <f>IF('Previsión de Gastos'!$T$14&gt;'Datos generales'!F$1+24,0,'Previsión de Gastos'!D16+('Previsión de Gastos'!D16*'Previsión de Gastos'!$P16)+ 'Previsión de Gastos'!$Q16 *( 'Previsión de Gastos'!D16+('Previsión de Gastos'!D16*'Previsión de Gastos'!$P16)))</f>
        <v>0</v>
      </c>
      <c r="F227" s="903">
        <f>IF('Previsión de Gastos'!$T$14&gt;'Datos generales'!G$1+24,0,'Previsión de Gastos'!E16+('Previsión de Gastos'!E16*'Previsión de Gastos'!$P16)+ 'Previsión de Gastos'!$Q16 *( 'Previsión de Gastos'!E16+('Previsión de Gastos'!E16*'Previsión de Gastos'!$P16)))</f>
        <v>0</v>
      </c>
      <c r="G227" s="903">
        <f>IF('Previsión de Gastos'!$T$14&gt;'Datos generales'!H$1+24,0,'Previsión de Gastos'!F16+('Previsión de Gastos'!F16*'Previsión de Gastos'!$P16)+ 'Previsión de Gastos'!$Q16 *( 'Previsión de Gastos'!F16+('Previsión de Gastos'!F16*'Previsión de Gastos'!$P16)))</f>
        <v>0</v>
      </c>
      <c r="H227" s="903">
        <f>IF('Previsión de Gastos'!$T$14&gt;'Datos generales'!I$1+24,0,'Previsión de Gastos'!G16+('Previsión de Gastos'!G16*'Previsión de Gastos'!$P16)+ 'Previsión de Gastos'!$Q16 *( 'Previsión de Gastos'!G16+('Previsión de Gastos'!G16*'Previsión de Gastos'!$P16)))</f>
        <v>0</v>
      </c>
      <c r="I227" s="903">
        <f>IF('Previsión de Gastos'!$T$14&gt;'Datos generales'!J$1+24,0,'Previsión de Gastos'!H16+('Previsión de Gastos'!H16*'Previsión de Gastos'!$P16)+ 'Previsión de Gastos'!$Q16 *( 'Previsión de Gastos'!H16+('Previsión de Gastos'!H16*'Previsión de Gastos'!$P16)))</f>
        <v>0</v>
      </c>
      <c r="J227" s="903">
        <f>IF('Previsión de Gastos'!$T$14&gt;'Datos generales'!K$1+24,0,'Previsión de Gastos'!I16+('Previsión de Gastos'!I16*'Previsión de Gastos'!$P16)+ 'Previsión de Gastos'!$Q16 *( 'Previsión de Gastos'!I16+('Previsión de Gastos'!I16*'Previsión de Gastos'!$P16)))</f>
        <v>0</v>
      </c>
      <c r="K227" s="903">
        <f>IF('Previsión de Gastos'!$T$14&gt;'Datos generales'!L$1+24,0,'Previsión de Gastos'!J16+('Previsión de Gastos'!J16*'Previsión de Gastos'!$P16)+ 'Previsión de Gastos'!$Q16 *( 'Previsión de Gastos'!J16+('Previsión de Gastos'!J16*'Previsión de Gastos'!$P16)))</f>
        <v>0</v>
      </c>
      <c r="L227" s="903">
        <f>IF('Previsión de Gastos'!$T$14&gt;'Datos generales'!M$1+24,0,'Previsión de Gastos'!K16+('Previsión de Gastos'!K16*'Previsión de Gastos'!$P16)+ 'Previsión de Gastos'!$Q16 *( 'Previsión de Gastos'!K16+('Previsión de Gastos'!K16*'Previsión de Gastos'!$P16)))</f>
        <v>0</v>
      </c>
      <c r="M227" s="903">
        <f>IF('Previsión de Gastos'!$T$14&gt;'Datos generales'!N$1+24,0,'Previsión de Gastos'!L16+('Previsión de Gastos'!L16*'Previsión de Gastos'!$P16)+ 'Previsión de Gastos'!$Q16 *( 'Previsión de Gastos'!L16+('Previsión de Gastos'!L16*'Previsión de Gastos'!$P16)))</f>
        <v>0</v>
      </c>
      <c r="N227" s="903">
        <f>IF('Previsión de Gastos'!$T$14&gt;'Datos generales'!O$1+24,0,'Previsión de Gastos'!M16+('Previsión de Gastos'!M16*'Previsión de Gastos'!$P16)+ 'Previsión de Gastos'!$Q16 *( 'Previsión de Gastos'!M16+('Previsión de Gastos'!M16*'Previsión de Gastos'!$P16)))</f>
        <v>0</v>
      </c>
      <c r="O227" s="903">
        <f>IF('Previsión de Gastos'!$T$14&gt;'Datos generales'!P$1+24,0,'Previsión de Gastos'!N16+('Previsión de Gastos'!N16*'Previsión de Gastos'!$P16)+ 'Previsión de Gastos'!$Q16 *( 'Previsión de Gastos'!N16+('Previsión de Gastos'!N16*'Previsión de Gastos'!$P16)))</f>
        <v>0</v>
      </c>
      <c r="P227" s="647"/>
      <c r="Q227" s="920">
        <f t="shared" si="39"/>
        <v>0</v>
      </c>
      <c r="R227" s="624"/>
      <c r="S227" s="624"/>
      <c r="T227" s="624"/>
      <c r="U227" s="624"/>
    </row>
    <row r="228" spans="2:21" x14ac:dyDescent="0.2">
      <c r="B228" s="296"/>
      <c r="C228" s="156">
        <f t="shared" si="38"/>
        <v>0</v>
      </c>
      <c r="D228" s="903">
        <f>IF('Previsión de Gastos'!$T$14&gt;'Datos generales'!E$1+24,0,'Previsión de Gastos'!C17+('Previsión de Gastos'!C17*'Previsión de Gastos'!$P17)+ 'Previsión de Gastos'!$Q17 *( 'Previsión de Gastos'!C17+('Previsión de Gastos'!C17*'Previsión de Gastos'!$P17)))</f>
        <v>0</v>
      </c>
      <c r="E228" s="903">
        <f>IF('Previsión de Gastos'!$T$14&gt;'Datos generales'!F$1+24,0,'Previsión de Gastos'!D17+('Previsión de Gastos'!D17*'Previsión de Gastos'!$P17)+ 'Previsión de Gastos'!$Q17 *( 'Previsión de Gastos'!D17+('Previsión de Gastos'!D17*'Previsión de Gastos'!$P17)))</f>
        <v>0</v>
      </c>
      <c r="F228" s="903">
        <f>IF('Previsión de Gastos'!$T$14&gt;'Datos generales'!G$1+24,0,'Previsión de Gastos'!E17+('Previsión de Gastos'!E17*'Previsión de Gastos'!$P17)+ 'Previsión de Gastos'!$Q17 *( 'Previsión de Gastos'!E17+('Previsión de Gastos'!E17*'Previsión de Gastos'!$P17)))</f>
        <v>0</v>
      </c>
      <c r="G228" s="903">
        <f>IF('Previsión de Gastos'!$T$14&gt;'Datos generales'!H$1+24,0,'Previsión de Gastos'!F17+('Previsión de Gastos'!F17*'Previsión de Gastos'!$P17)+ 'Previsión de Gastos'!$Q17 *( 'Previsión de Gastos'!F17+('Previsión de Gastos'!F17*'Previsión de Gastos'!$P17)))</f>
        <v>0</v>
      </c>
      <c r="H228" s="903">
        <f>IF('Previsión de Gastos'!$T$14&gt;'Datos generales'!I$1+24,0,'Previsión de Gastos'!G17+('Previsión de Gastos'!G17*'Previsión de Gastos'!$P17)+ 'Previsión de Gastos'!$Q17 *( 'Previsión de Gastos'!G17+('Previsión de Gastos'!G17*'Previsión de Gastos'!$P17)))</f>
        <v>0</v>
      </c>
      <c r="I228" s="903">
        <f>IF('Previsión de Gastos'!$T$14&gt;'Datos generales'!J$1+24,0,'Previsión de Gastos'!H17+('Previsión de Gastos'!H17*'Previsión de Gastos'!$P17)+ 'Previsión de Gastos'!$Q17 *( 'Previsión de Gastos'!H17+('Previsión de Gastos'!H17*'Previsión de Gastos'!$P17)))</f>
        <v>0</v>
      </c>
      <c r="J228" s="903">
        <f>IF('Previsión de Gastos'!$T$14&gt;'Datos generales'!K$1+24,0,'Previsión de Gastos'!I17+('Previsión de Gastos'!I17*'Previsión de Gastos'!$P17)+ 'Previsión de Gastos'!$Q17 *( 'Previsión de Gastos'!I17+('Previsión de Gastos'!I17*'Previsión de Gastos'!$P17)))</f>
        <v>0</v>
      </c>
      <c r="K228" s="903">
        <f>IF('Previsión de Gastos'!$T$14&gt;'Datos generales'!L$1+24,0,'Previsión de Gastos'!J17+('Previsión de Gastos'!J17*'Previsión de Gastos'!$P17)+ 'Previsión de Gastos'!$Q17 *( 'Previsión de Gastos'!J17+('Previsión de Gastos'!J17*'Previsión de Gastos'!$P17)))</f>
        <v>0</v>
      </c>
      <c r="L228" s="903">
        <f>IF('Previsión de Gastos'!$T$14&gt;'Datos generales'!M$1+24,0,'Previsión de Gastos'!K17+('Previsión de Gastos'!K17*'Previsión de Gastos'!$P17)+ 'Previsión de Gastos'!$Q17 *( 'Previsión de Gastos'!K17+('Previsión de Gastos'!K17*'Previsión de Gastos'!$P17)))</f>
        <v>0</v>
      </c>
      <c r="M228" s="903">
        <f>IF('Previsión de Gastos'!$T$14&gt;'Datos generales'!N$1+24,0,'Previsión de Gastos'!L17+('Previsión de Gastos'!L17*'Previsión de Gastos'!$P17)+ 'Previsión de Gastos'!$Q17 *( 'Previsión de Gastos'!L17+('Previsión de Gastos'!L17*'Previsión de Gastos'!$P17)))</f>
        <v>0</v>
      </c>
      <c r="N228" s="903">
        <f>IF('Previsión de Gastos'!$T$14&gt;'Datos generales'!O$1+24,0,'Previsión de Gastos'!M17+('Previsión de Gastos'!M17*'Previsión de Gastos'!$P17)+ 'Previsión de Gastos'!$Q17 *( 'Previsión de Gastos'!M17+('Previsión de Gastos'!M17*'Previsión de Gastos'!$P17)))</f>
        <v>0</v>
      </c>
      <c r="O228" s="903">
        <f>IF('Previsión de Gastos'!$T$14&gt;'Datos generales'!P$1+24,0,'Previsión de Gastos'!N17+('Previsión de Gastos'!N17*'Previsión de Gastos'!$P17)+ 'Previsión de Gastos'!$Q17 *( 'Previsión de Gastos'!N17+('Previsión de Gastos'!N17*'Previsión de Gastos'!$P17)))</f>
        <v>0</v>
      </c>
      <c r="P228" s="637"/>
      <c r="Q228" s="1193">
        <f t="shared" si="39"/>
        <v>0</v>
      </c>
      <c r="S228" s="58"/>
    </row>
    <row r="229" spans="2:21" x14ac:dyDescent="0.2">
      <c r="B229" s="296"/>
      <c r="C229">
        <f t="shared" si="38"/>
        <v>0</v>
      </c>
      <c r="D229" s="903">
        <f>IF('Previsión de Gastos'!$T$14&gt;'Datos generales'!E$1+24,0,'Previsión de Gastos'!C18+('Previsión de Gastos'!C18*'Previsión de Gastos'!$P18)+ 'Previsión de Gastos'!$Q18 *( 'Previsión de Gastos'!C18+('Previsión de Gastos'!C18*'Previsión de Gastos'!$P18)))</f>
        <v>0</v>
      </c>
      <c r="E229" s="903">
        <f>IF('Previsión de Gastos'!$T$14&gt;'Datos generales'!F$1+24,0,'Previsión de Gastos'!D18+('Previsión de Gastos'!D18*'Previsión de Gastos'!$P18)+ 'Previsión de Gastos'!$Q18 *( 'Previsión de Gastos'!D18+('Previsión de Gastos'!D18*'Previsión de Gastos'!$P18)))</f>
        <v>0</v>
      </c>
      <c r="F229" s="903">
        <f>IF('Previsión de Gastos'!$T$14&gt;'Datos generales'!G$1+24,0,'Previsión de Gastos'!E18+('Previsión de Gastos'!E18*'Previsión de Gastos'!$P18)+ 'Previsión de Gastos'!$Q18 *( 'Previsión de Gastos'!E18+('Previsión de Gastos'!E18*'Previsión de Gastos'!$P18)))</f>
        <v>0</v>
      </c>
      <c r="G229" s="903">
        <f>IF('Previsión de Gastos'!$T$14&gt;'Datos generales'!H$1+24,0,'Previsión de Gastos'!F18+('Previsión de Gastos'!F18*'Previsión de Gastos'!$P18)+ 'Previsión de Gastos'!$Q18 *( 'Previsión de Gastos'!F18+('Previsión de Gastos'!F18*'Previsión de Gastos'!$P18)))</f>
        <v>0</v>
      </c>
      <c r="H229" s="903">
        <f>IF('Previsión de Gastos'!$T$14&gt;'Datos generales'!I$1+24,0,'Previsión de Gastos'!G18+('Previsión de Gastos'!G18*'Previsión de Gastos'!$P18)+ 'Previsión de Gastos'!$Q18 *( 'Previsión de Gastos'!G18+('Previsión de Gastos'!G18*'Previsión de Gastos'!$P18)))</f>
        <v>0</v>
      </c>
      <c r="I229" s="903">
        <f>IF('Previsión de Gastos'!$T$14&gt;'Datos generales'!J$1+24,0,'Previsión de Gastos'!H18+('Previsión de Gastos'!H18*'Previsión de Gastos'!$P18)+ 'Previsión de Gastos'!$Q18 *( 'Previsión de Gastos'!H18+('Previsión de Gastos'!H18*'Previsión de Gastos'!$P18)))</f>
        <v>0</v>
      </c>
      <c r="J229" s="903">
        <f>IF('Previsión de Gastos'!$T$14&gt;'Datos generales'!K$1+24,0,'Previsión de Gastos'!I18+('Previsión de Gastos'!I18*'Previsión de Gastos'!$P18)+ 'Previsión de Gastos'!$Q18 *( 'Previsión de Gastos'!I18+('Previsión de Gastos'!I18*'Previsión de Gastos'!$P18)))</f>
        <v>0</v>
      </c>
      <c r="K229" s="903">
        <f>IF('Previsión de Gastos'!$T$14&gt;'Datos generales'!L$1+24,0,'Previsión de Gastos'!J18+('Previsión de Gastos'!J18*'Previsión de Gastos'!$P18)+ 'Previsión de Gastos'!$Q18 *( 'Previsión de Gastos'!J18+('Previsión de Gastos'!J18*'Previsión de Gastos'!$P18)))</f>
        <v>0</v>
      </c>
      <c r="L229" s="903">
        <f>IF('Previsión de Gastos'!$T$14&gt;'Datos generales'!M$1+24,0,'Previsión de Gastos'!K18+('Previsión de Gastos'!K18*'Previsión de Gastos'!$P18)+ 'Previsión de Gastos'!$Q18 *( 'Previsión de Gastos'!K18+('Previsión de Gastos'!K18*'Previsión de Gastos'!$P18)))</f>
        <v>0</v>
      </c>
      <c r="M229" s="903">
        <f>IF('Previsión de Gastos'!$T$14&gt;'Datos generales'!N$1+24,0,'Previsión de Gastos'!L18+('Previsión de Gastos'!L18*'Previsión de Gastos'!$P18)+ 'Previsión de Gastos'!$Q18 *( 'Previsión de Gastos'!L18+('Previsión de Gastos'!L18*'Previsión de Gastos'!$P18)))</f>
        <v>0</v>
      </c>
      <c r="N229" s="903">
        <f>IF('Previsión de Gastos'!$T$14&gt;'Datos generales'!O$1+24,0,'Previsión de Gastos'!M18+('Previsión de Gastos'!M18*'Previsión de Gastos'!$P18)+ 'Previsión de Gastos'!$Q18 *( 'Previsión de Gastos'!M18+('Previsión de Gastos'!M18*'Previsión de Gastos'!$P18)))</f>
        <v>0</v>
      </c>
      <c r="O229" s="903">
        <f>IF('Previsión de Gastos'!$T$14&gt;'Datos generales'!P$1+24,0,'Previsión de Gastos'!N18+('Previsión de Gastos'!N18*'Previsión de Gastos'!$P18)+ 'Previsión de Gastos'!$Q18 *( 'Previsión de Gastos'!N18+('Previsión de Gastos'!N18*'Previsión de Gastos'!$P18)))</f>
        <v>0</v>
      </c>
      <c r="P229" s="637"/>
      <c r="Q229" s="1193">
        <f t="shared" si="39"/>
        <v>0</v>
      </c>
      <c r="S229" s="58"/>
    </row>
    <row r="230" spans="2:21" s="1" customFormat="1" x14ac:dyDescent="0.2">
      <c r="B230" s="859" t="str">
        <f>B72</f>
        <v>Total Gastos de personal</v>
      </c>
      <c r="C230" s="476"/>
      <c r="D230" s="909">
        <f>SUM(D224:D229)</f>
        <v>0</v>
      </c>
      <c r="E230" s="865">
        <f t="shared" ref="E230:P230" si="40">SUM(E224:E229)</f>
        <v>0</v>
      </c>
      <c r="F230" s="865">
        <f t="shared" si="40"/>
        <v>0</v>
      </c>
      <c r="G230" s="865">
        <f t="shared" si="40"/>
        <v>0</v>
      </c>
      <c r="H230" s="865">
        <f t="shared" si="40"/>
        <v>0</v>
      </c>
      <c r="I230" s="865">
        <f t="shared" si="40"/>
        <v>0</v>
      </c>
      <c r="J230" s="865">
        <f t="shared" si="40"/>
        <v>0</v>
      </c>
      <c r="K230" s="865">
        <f t="shared" si="40"/>
        <v>0</v>
      </c>
      <c r="L230" s="865">
        <f t="shared" si="40"/>
        <v>0</v>
      </c>
      <c r="M230" s="865">
        <f t="shared" si="40"/>
        <v>0</v>
      </c>
      <c r="N230" s="865">
        <f t="shared" si="40"/>
        <v>0</v>
      </c>
      <c r="O230" s="865">
        <f t="shared" si="40"/>
        <v>0</v>
      </c>
      <c r="P230" s="646">
        <f t="shared" si="40"/>
        <v>0</v>
      </c>
      <c r="Q230" s="866">
        <f>SUM(Q224:Q229)</f>
        <v>0</v>
      </c>
      <c r="R230" s="626"/>
      <c r="S230" s="624"/>
      <c r="T230" s="626"/>
      <c r="U230" s="626"/>
    </row>
    <row r="231" spans="2:21" ht="8.25" customHeight="1" x14ac:dyDescent="0.2">
      <c r="B231" s="210"/>
      <c r="C231" s="1"/>
      <c r="D231" s="901"/>
      <c r="E231" s="624"/>
      <c r="F231" s="624"/>
      <c r="G231" s="624"/>
      <c r="H231" s="624"/>
      <c r="I231" s="624"/>
      <c r="J231" s="624"/>
      <c r="K231" s="624"/>
      <c r="L231" s="624"/>
      <c r="M231" s="624"/>
      <c r="N231" s="624"/>
      <c r="O231" s="624"/>
      <c r="P231" s="781"/>
      <c r="Q231" s="793"/>
      <c r="R231" s="624"/>
      <c r="S231" s="624"/>
      <c r="T231" s="624"/>
      <c r="U231" s="624"/>
    </row>
    <row r="232" spans="2:21" x14ac:dyDescent="0.2">
      <c r="B232" s="210" t="str">
        <f>B74</f>
        <v>Otros gastos de explotación</v>
      </c>
      <c r="C232" s="1"/>
      <c r="D232" s="901"/>
      <c r="E232" s="624"/>
      <c r="F232" s="624"/>
      <c r="G232" s="624"/>
      <c r="H232" s="624"/>
      <c r="I232" s="624"/>
      <c r="J232" s="624"/>
      <c r="K232" s="624"/>
      <c r="L232" s="624"/>
      <c r="M232" s="624"/>
      <c r="N232" s="624"/>
      <c r="O232" s="624"/>
      <c r="P232" s="781"/>
      <c r="Q232" s="793"/>
      <c r="R232" s="624"/>
      <c r="S232" s="624"/>
      <c r="T232" s="624"/>
      <c r="U232" s="624"/>
    </row>
    <row r="233" spans="2:21" ht="6.75" customHeight="1" x14ac:dyDescent="0.2">
      <c r="B233" s="210"/>
      <c r="C233" s="1"/>
      <c r="P233" s="161"/>
      <c r="Q233" s="571"/>
      <c r="R233" s="624"/>
      <c r="S233" s="624"/>
      <c r="T233" s="624"/>
      <c r="U233" s="624"/>
    </row>
    <row r="234" spans="2:21" x14ac:dyDescent="0.2">
      <c r="B234" s="296"/>
      <c r="C234" s="1" t="str">
        <f t="shared" ref="C234:C247" si="41">C76</f>
        <v>Tributos e impuestos:</v>
      </c>
      <c r="P234" s="161"/>
      <c r="Q234" s="571"/>
      <c r="S234" s="58"/>
    </row>
    <row r="235" spans="2:21" x14ac:dyDescent="0.2">
      <c r="B235" s="296"/>
      <c r="C235" s="150" t="str">
        <f t="shared" si="41"/>
        <v>IBI</v>
      </c>
      <c r="D235" s="902">
        <f>D157+(D157*'Previsión de Gastos'!$Q21)</f>
        <v>0</v>
      </c>
      <c r="E235" s="299">
        <f>E157+(E157*'Previsión de Gastos'!$Q21)</f>
        <v>0</v>
      </c>
      <c r="F235" s="299">
        <f>F157+(F157*'Previsión de Gastos'!$Q21)</f>
        <v>0</v>
      </c>
      <c r="G235" s="299">
        <f>G157+(G157*'Previsión de Gastos'!$Q21)</f>
        <v>0</v>
      </c>
      <c r="H235" s="299">
        <f>H157+(H157*'Previsión de Gastos'!$Q21)</f>
        <v>0</v>
      </c>
      <c r="I235" s="299">
        <f>I157+(I157*'Previsión de Gastos'!$Q21)</f>
        <v>0</v>
      </c>
      <c r="J235" s="299">
        <f>J157+(J157*'Previsión de Gastos'!$Q21)</f>
        <v>0</v>
      </c>
      <c r="K235" s="299">
        <f>K157+(K157*'Previsión de Gastos'!$Q21)</f>
        <v>0</v>
      </c>
      <c r="L235" s="299">
        <f>L157+(L157*'Previsión de Gastos'!$Q21)</f>
        <v>0</v>
      </c>
      <c r="M235" s="299">
        <f>M157+(M157*'Previsión de Gastos'!$Q21)</f>
        <v>0</v>
      </c>
      <c r="N235" s="299">
        <f>N157+(N157*'Previsión de Gastos'!$Q21)</f>
        <v>0</v>
      </c>
      <c r="O235" s="299">
        <f>O157+(O157*'Previsión de Gastos'!$Q21)</f>
        <v>0</v>
      </c>
      <c r="P235" s="638"/>
      <c r="Q235" s="1194">
        <f>SUM(D235:P235)</f>
        <v>0</v>
      </c>
      <c r="S235" s="58"/>
    </row>
    <row r="236" spans="2:21" x14ac:dyDescent="0.2">
      <c r="B236" s="296"/>
      <c r="C236" s="156" t="str">
        <f t="shared" si="41"/>
        <v xml:space="preserve">Impuesto de vehículos de tracción mecánica </v>
      </c>
      <c r="D236" s="905">
        <f>D158+(D158*'Previsión de Gastos'!$Q22)</f>
        <v>0</v>
      </c>
      <c r="E236" s="289">
        <f>E158+(E158*'Previsión de Gastos'!$Q22)</f>
        <v>0</v>
      </c>
      <c r="F236" s="289">
        <f>F158+(F158*'Previsión de Gastos'!$Q22)</f>
        <v>0</v>
      </c>
      <c r="G236" s="289">
        <f>G158+(G158*'Previsión de Gastos'!$Q22)</f>
        <v>0</v>
      </c>
      <c r="H236" s="289">
        <f>H158+(H158*'Previsión de Gastos'!$Q22)</f>
        <v>0</v>
      </c>
      <c r="I236" s="289">
        <f>I158+(I158*'Previsión de Gastos'!$Q22)</f>
        <v>0</v>
      </c>
      <c r="J236" s="289">
        <f>J158+(J158*'Previsión de Gastos'!$Q22)</f>
        <v>0</v>
      </c>
      <c r="K236" s="289">
        <f>K158+(K158*'Previsión de Gastos'!$Q22)</f>
        <v>0</v>
      </c>
      <c r="L236" s="289">
        <f>L158+(L158*'Previsión de Gastos'!$Q22)</f>
        <v>0</v>
      </c>
      <c r="M236" s="289">
        <f>M158+(M158*'Previsión de Gastos'!$Q22)</f>
        <v>0</v>
      </c>
      <c r="N236" s="289">
        <f>N158+(N158*'Previsión de Gastos'!$Q22)</f>
        <v>0</v>
      </c>
      <c r="O236" s="289">
        <f>O158+(O158*'Previsión de Gastos'!$Q22)</f>
        <v>0</v>
      </c>
      <c r="P236" s="637"/>
      <c r="Q236" s="1193">
        <f>SUM(D236:P236)</f>
        <v>0</v>
      </c>
      <c r="S236" s="58"/>
    </row>
    <row r="237" spans="2:21" x14ac:dyDescent="0.2">
      <c r="B237" s="296"/>
      <c r="C237" s="156" t="str">
        <f t="shared" si="41"/>
        <v>Impuestos</v>
      </c>
      <c r="D237" s="905">
        <f>D159+(D159*'Previsión de Gastos'!$Q23)</f>
        <v>0</v>
      </c>
      <c r="E237" s="289">
        <f>E159+(E159*'Previsión de Gastos'!$Q23)</f>
        <v>0</v>
      </c>
      <c r="F237" s="289">
        <f>F159+(F159*'Previsión de Gastos'!$Q23)</f>
        <v>0</v>
      </c>
      <c r="G237" s="289">
        <f>G159+(G159*'Previsión de Gastos'!$Q23)</f>
        <v>0</v>
      </c>
      <c r="H237" s="289">
        <f>H159+(H159*'Previsión de Gastos'!$Q23)</f>
        <v>0</v>
      </c>
      <c r="I237" s="289">
        <f>I159+(I159*'Previsión de Gastos'!$Q23)</f>
        <v>0</v>
      </c>
      <c r="J237" s="289">
        <f>J159+(J159*'Previsión de Gastos'!$Q23)</f>
        <v>0</v>
      </c>
      <c r="K237" s="289">
        <f>K159+(K159*'Previsión de Gastos'!$Q23)</f>
        <v>0</v>
      </c>
      <c r="L237" s="289">
        <f>L159+(L159*'Previsión de Gastos'!$Q23)</f>
        <v>0</v>
      </c>
      <c r="M237" s="289">
        <f>M159+(M159*'Previsión de Gastos'!$Q23)</f>
        <v>0</v>
      </c>
      <c r="N237" s="289">
        <f>N159+(N159*'Previsión de Gastos'!$Q23)</f>
        <v>0</v>
      </c>
      <c r="O237" s="289">
        <f>O159+(O159*'Previsión de Gastos'!$Q23)</f>
        <v>0</v>
      </c>
      <c r="P237" s="637"/>
      <c r="Q237" s="1193">
        <f>SUM(D237:P237)</f>
        <v>0</v>
      </c>
      <c r="S237" s="58"/>
    </row>
    <row r="238" spans="2:21" s="58" customFormat="1" x14ac:dyDescent="0.2">
      <c r="B238" s="617"/>
      <c r="C238" s="302" t="str">
        <f t="shared" si="41"/>
        <v>IVA soportado s/inversiones(*)</v>
      </c>
      <c r="D238" s="302">
        <f ca="1">IF('Datos generales'!$D$22&lt;=0,OFFSET('Préstamos LP'!$X$59,'Datos generales'!D1,0,1,1),0)</f>
        <v>0</v>
      </c>
      <c r="E238" s="302">
        <f ca="1">IF('Datos generales'!$D$22&lt;=0,OFFSET('Préstamos LP'!$X$59,'Datos generales'!E1,0,1,1),0)</f>
        <v>0</v>
      </c>
      <c r="F238" s="302">
        <f ca="1">IF('Datos generales'!$D$22&lt;=0,OFFSET('Préstamos LP'!$X$59,'Datos generales'!F1,0,1,1),0)</f>
        <v>0</v>
      </c>
      <c r="G238" s="302">
        <f ca="1">IF('Datos generales'!$D$22&lt;=0,OFFSET('Préstamos LP'!$X$59,'Datos generales'!G1,0,1,1),0)</f>
        <v>0</v>
      </c>
      <c r="H238" s="302">
        <f ca="1">IF('Datos generales'!$D$22&lt;=0,OFFSET('Préstamos LP'!$X$59,'Datos generales'!H1,0,1,1),0)</f>
        <v>0</v>
      </c>
      <c r="I238" s="302">
        <f ca="1">IF('Datos generales'!$D$22&lt;=0,OFFSET('Préstamos LP'!$X$59,'Datos generales'!I1,0,1,1),0)</f>
        <v>0</v>
      </c>
      <c r="J238" s="302">
        <f ca="1">IF('Datos generales'!$D$22&lt;=0,OFFSET('Préstamos LP'!$X$59,'Datos generales'!J1,0,1,1),0)</f>
        <v>0</v>
      </c>
      <c r="K238" s="302">
        <f ca="1">IF('Datos generales'!$D$22&lt;=0,OFFSET('Préstamos LP'!$X$59,'Datos generales'!K1,0,1,1),0)</f>
        <v>0</v>
      </c>
      <c r="L238" s="302">
        <f ca="1">IF('Datos generales'!$D$22&lt;=0,OFFSET('Préstamos LP'!$X$59,'Datos generales'!L1,0,1,1),0)</f>
        <v>0</v>
      </c>
      <c r="M238" s="302">
        <f ca="1">IF('Datos generales'!$D$22&lt;=0,OFFSET('Préstamos LP'!$X$59,'Datos generales'!M1,0,1,1),0)</f>
        <v>0</v>
      </c>
      <c r="N238" s="302">
        <f ca="1">IF('Datos generales'!$D$22&lt;=0,OFFSET('Préstamos LP'!$X$59,'Datos generales'!N1,0,1,1),0)</f>
        <v>0</v>
      </c>
      <c r="O238" s="302">
        <f ca="1">IF('Datos generales'!$D$22&lt;=0,OFFSET('Préstamos LP'!$X$59,'Datos generales'!O1,0,1,1),0)</f>
        <v>0</v>
      </c>
      <c r="P238" s="863">
        <f>IF('Datos generales'!$D$22&lt;=0,'Datos generales'!$D$19*('Entrada Inver_Finan'!H63-'Préstamos LP'!J14),0)</f>
        <v>0</v>
      </c>
      <c r="Q238" s="1193">
        <f ca="1">SUM(D238:P238)</f>
        <v>0</v>
      </c>
    </row>
    <row r="239" spans="2:21" x14ac:dyDescent="0.2">
      <c r="B239" s="296"/>
      <c r="C239" s="476" t="str">
        <f t="shared" si="41"/>
        <v>Total Tributos e impuestos</v>
      </c>
      <c r="D239" s="906">
        <f t="shared" ref="D239:P239" ca="1" si="42">SUM(D235:D238)</f>
        <v>0</v>
      </c>
      <c r="E239" s="201">
        <f t="shared" ca="1" si="42"/>
        <v>0</v>
      </c>
      <c r="F239" s="201">
        <f t="shared" ca="1" si="42"/>
        <v>0</v>
      </c>
      <c r="G239" s="201">
        <f t="shared" ca="1" si="42"/>
        <v>0</v>
      </c>
      <c r="H239" s="201">
        <f t="shared" ca="1" si="42"/>
        <v>0</v>
      </c>
      <c r="I239" s="201">
        <f t="shared" ca="1" si="42"/>
        <v>0</v>
      </c>
      <c r="J239" s="201">
        <f t="shared" ca="1" si="42"/>
        <v>0</v>
      </c>
      <c r="K239" s="201">
        <f t="shared" ca="1" si="42"/>
        <v>0</v>
      </c>
      <c r="L239" s="201">
        <f t="shared" ca="1" si="42"/>
        <v>0</v>
      </c>
      <c r="M239" s="201">
        <f t="shared" ca="1" si="42"/>
        <v>0</v>
      </c>
      <c r="N239" s="201">
        <f t="shared" ca="1" si="42"/>
        <v>0</v>
      </c>
      <c r="O239" s="201">
        <f t="shared" ca="1" si="42"/>
        <v>0</v>
      </c>
      <c r="P239" s="201">
        <f t="shared" si="42"/>
        <v>0</v>
      </c>
      <c r="Q239" s="877">
        <f ca="1">SUM(Q235:Q238)</f>
        <v>0</v>
      </c>
      <c r="S239" s="58"/>
    </row>
    <row r="240" spans="2:21" x14ac:dyDescent="0.2">
      <c r="B240" s="296"/>
      <c r="C240" s="1" t="str">
        <f t="shared" si="41"/>
        <v>Gastos comerciales:</v>
      </c>
      <c r="P240" s="161"/>
      <c r="Q240" s="571"/>
      <c r="S240" s="58"/>
    </row>
    <row r="241" spans="2:21" x14ac:dyDescent="0.2">
      <c r="B241" s="296"/>
      <c r="C241" s="150" t="str">
        <f t="shared" si="41"/>
        <v>Publicidad y propaganda</v>
      </c>
      <c r="D241" s="902">
        <f>D163+(D163*'Previsión de Gastos'!$Q32)</f>
        <v>0</v>
      </c>
      <c r="E241" s="299">
        <f>E163+(E163*'Previsión de Gastos'!$Q32)</f>
        <v>0</v>
      </c>
      <c r="F241" s="299">
        <f>F163+(F163*'Previsión de Gastos'!$Q32)</f>
        <v>0</v>
      </c>
      <c r="G241" s="299">
        <f>G163+(G163*'Previsión de Gastos'!$Q32)</f>
        <v>0</v>
      </c>
      <c r="H241" s="299">
        <f>H163+(H163*'Previsión de Gastos'!$Q32)</f>
        <v>0</v>
      </c>
      <c r="I241" s="299">
        <f>I163+(I163*'Previsión de Gastos'!$Q32)</f>
        <v>0</v>
      </c>
      <c r="J241" s="299">
        <f>J163+(J163*'Previsión de Gastos'!$Q32)</f>
        <v>0</v>
      </c>
      <c r="K241" s="299">
        <f>K163+(K163*'Previsión de Gastos'!$Q32)</f>
        <v>0</v>
      </c>
      <c r="L241" s="299">
        <f>L163+(L163*'Previsión de Gastos'!$Q32)</f>
        <v>0</v>
      </c>
      <c r="M241" s="299">
        <f>M163+(M163*'Previsión de Gastos'!$Q32)</f>
        <v>0</v>
      </c>
      <c r="N241" s="299">
        <f>N163+(N163*'Previsión de Gastos'!$Q32)</f>
        <v>0</v>
      </c>
      <c r="O241" s="299">
        <f>O163+(O163*'Previsión de Gastos'!$Q32)</f>
        <v>0</v>
      </c>
      <c r="P241" s="638"/>
      <c r="Q241" s="1194">
        <f>SUM(D241:P241)</f>
        <v>0</v>
      </c>
      <c r="S241" s="58"/>
    </row>
    <row r="242" spans="2:21" x14ac:dyDescent="0.2">
      <c r="B242" s="296"/>
      <c r="C242" s="156">
        <f t="shared" si="41"/>
        <v>0</v>
      </c>
      <c r="D242" s="905">
        <f>D164+(D164*'Previsión de Gastos'!$Q33)</f>
        <v>0</v>
      </c>
      <c r="E242" s="289">
        <f>E164+(E164*'Previsión de Gastos'!$Q33)</f>
        <v>0</v>
      </c>
      <c r="F242" s="289">
        <f>F164+(F164*'Previsión de Gastos'!$Q33)</f>
        <v>0</v>
      </c>
      <c r="G242" s="289">
        <f>G164+(G164*'Previsión de Gastos'!$Q33)</f>
        <v>0</v>
      </c>
      <c r="H242" s="289">
        <f>H164+(H164*'Previsión de Gastos'!$Q33)</f>
        <v>0</v>
      </c>
      <c r="I242" s="289">
        <f>I164+(I164*'Previsión de Gastos'!$Q33)</f>
        <v>0</v>
      </c>
      <c r="J242" s="289">
        <f>J164+(J164*'Previsión de Gastos'!$Q33)</f>
        <v>0</v>
      </c>
      <c r="K242" s="289">
        <f>K164+(K164*'Previsión de Gastos'!$Q33)</f>
        <v>0</v>
      </c>
      <c r="L242" s="289">
        <f>L164+(L164*'Previsión de Gastos'!$Q33)</f>
        <v>0</v>
      </c>
      <c r="M242" s="289">
        <f>M164+(M164*'Previsión de Gastos'!$Q33)</f>
        <v>0</v>
      </c>
      <c r="N242" s="289">
        <f>N164+(N164*'Previsión de Gastos'!$Q33)</f>
        <v>0</v>
      </c>
      <c r="O242" s="289">
        <f>O164+(O164*'Previsión de Gastos'!$Q33)</f>
        <v>0</v>
      </c>
      <c r="P242" s="637"/>
      <c r="Q242" s="1193">
        <f>SUM(D242:P242)</f>
        <v>0</v>
      </c>
      <c r="S242" s="58"/>
    </row>
    <row r="243" spans="2:21" x14ac:dyDescent="0.2">
      <c r="B243" s="296"/>
      <c r="C243" s="156">
        <f t="shared" si="41"/>
        <v>0</v>
      </c>
      <c r="D243" s="905">
        <f>D165+(D165*'Previsión de Gastos'!$Q34)</f>
        <v>0</v>
      </c>
      <c r="E243" s="289">
        <f>E165+(E165*'Previsión de Gastos'!$Q34)</f>
        <v>0</v>
      </c>
      <c r="F243" s="289">
        <f>F165+(F165*'Previsión de Gastos'!$Q34)</f>
        <v>0</v>
      </c>
      <c r="G243" s="289">
        <f>G165+(G165*'Previsión de Gastos'!$Q34)</f>
        <v>0</v>
      </c>
      <c r="H243" s="289">
        <f>H165+(H165*'Previsión de Gastos'!$Q34)</f>
        <v>0</v>
      </c>
      <c r="I243" s="289">
        <f>I165+(I165*'Previsión de Gastos'!$Q34)</f>
        <v>0</v>
      </c>
      <c r="J243" s="289">
        <f>J165+(J165*'Previsión de Gastos'!$Q34)</f>
        <v>0</v>
      </c>
      <c r="K243" s="289">
        <f>K165+(K165*'Previsión de Gastos'!$Q34)</f>
        <v>0</v>
      </c>
      <c r="L243" s="289">
        <f>L165+(L165*'Previsión de Gastos'!$Q34)</f>
        <v>0</v>
      </c>
      <c r="M243" s="289">
        <f>M165+(M165*'Previsión de Gastos'!$Q34)</f>
        <v>0</v>
      </c>
      <c r="N243" s="289">
        <f>N165+(N165*'Previsión de Gastos'!$Q34)</f>
        <v>0</v>
      </c>
      <c r="O243" s="289">
        <f>O165+(O165*'Previsión de Gastos'!$Q34)</f>
        <v>0</v>
      </c>
      <c r="P243" s="637"/>
      <c r="Q243" s="1193">
        <f>SUM(D243:P243)</f>
        <v>0</v>
      </c>
      <c r="S243" s="58"/>
    </row>
    <row r="244" spans="2:21" s="1" customFormat="1" x14ac:dyDescent="0.2">
      <c r="B244" s="296"/>
      <c r="C244" s="300" t="str">
        <f t="shared" si="41"/>
        <v>Total</v>
      </c>
      <c r="D244" s="907">
        <f>SUM(D241:D243)</f>
        <v>0</v>
      </c>
      <c r="E244" s="295">
        <f t="shared" ref="E244:O244" si="43">SUM(E241:E243)</f>
        <v>0</v>
      </c>
      <c r="F244" s="295">
        <f t="shared" si="43"/>
        <v>0</v>
      </c>
      <c r="G244" s="295">
        <f t="shared" si="43"/>
        <v>0</v>
      </c>
      <c r="H244" s="295">
        <f t="shared" si="43"/>
        <v>0</v>
      </c>
      <c r="I244" s="295">
        <f t="shared" si="43"/>
        <v>0</v>
      </c>
      <c r="J244" s="295">
        <f t="shared" si="43"/>
        <v>0</v>
      </c>
      <c r="K244" s="295">
        <f t="shared" si="43"/>
        <v>0</v>
      </c>
      <c r="L244" s="295">
        <f t="shared" si="43"/>
        <v>0</v>
      </c>
      <c r="M244" s="295">
        <f t="shared" si="43"/>
        <v>0</v>
      </c>
      <c r="N244" s="295">
        <f t="shared" si="43"/>
        <v>0</v>
      </c>
      <c r="O244" s="295">
        <f t="shared" si="43"/>
        <v>0</v>
      </c>
      <c r="P244" s="639"/>
      <c r="Q244" s="363">
        <f>SUM(Q241:Q243)</f>
        <v>0</v>
      </c>
      <c r="S244" s="58"/>
    </row>
    <row r="245" spans="2:21" x14ac:dyDescent="0.2">
      <c r="B245" s="296"/>
      <c r="C245" s="156" t="str">
        <f t="shared" si="41"/>
        <v>IVA soportado(*)</v>
      </c>
      <c r="D245" s="289">
        <f>IF('Datos generales'!$D$22&lt;=0,'Datos generales'!$D$19*D244,0)</f>
        <v>0</v>
      </c>
      <c r="E245" s="289">
        <f>IF('Datos generales'!$D$22&lt;=0,'Datos generales'!$D$19*E244,0)</f>
        <v>0</v>
      </c>
      <c r="F245" s="289">
        <f>IF('Datos generales'!$D$22&lt;=0,'Datos generales'!$D$19*F244,0)</f>
        <v>0</v>
      </c>
      <c r="G245" s="289">
        <f>IF('Datos generales'!$D$22&lt;=0,'Datos generales'!$D$19*G244,0)</f>
        <v>0</v>
      </c>
      <c r="H245" s="289">
        <f>IF('Datos generales'!$D$22&lt;=0,'Datos generales'!$D$19*H244,0)</f>
        <v>0</v>
      </c>
      <c r="I245" s="289">
        <f>IF('Datos generales'!$D$22&lt;=0,'Datos generales'!$D$19*I244,0)</f>
        <v>0</v>
      </c>
      <c r="J245" s="289">
        <f>IF('Datos generales'!$D$22&lt;=0,'Datos generales'!$D$19*J244,0)</f>
        <v>0</v>
      </c>
      <c r="K245" s="289">
        <f>IF('Datos generales'!$D$22&lt;=0,'Datos generales'!$D$19*K244,0)</f>
        <v>0</v>
      </c>
      <c r="L245" s="289">
        <f>IF('Datos generales'!$D$22&lt;=0,'Datos generales'!$D$19*L244,0)</f>
        <v>0</v>
      </c>
      <c r="M245" s="289">
        <f>IF('Datos generales'!$D$22&lt;=0,'Datos generales'!$D$19*M244,0)</f>
        <v>0</v>
      </c>
      <c r="N245" s="289">
        <f>IF('Datos generales'!$D$22&lt;=0,'Datos generales'!$D$19*N244,0)</f>
        <v>0</v>
      </c>
      <c r="O245" s="289">
        <f>IF('Datos generales'!$D$22&lt;=0,'Datos generales'!$D$19*O244,0)</f>
        <v>0</v>
      </c>
      <c r="P245" s="637"/>
      <c r="Q245" s="1193">
        <f>SUM(D245:P245)</f>
        <v>0</v>
      </c>
      <c r="S245" s="58"/>
    </row>
    <row r="246" spans="2:21" x14ac:dyDescent="0.2">
      <c r="B246" s="296"/>
      <c r="C246" s="476" t="str">
        <f t="shared" si="41"/>
        <v>Total Gastos comerciales</v>
      </c>
      <c r="D246" s="906">
        <f>SUM(D244:D245)</f>
        <v>0</v>
      </c>
      <c r="E246" s="201">
        <f t="shared" ref="E246:P246" si="44">SUM(E244:E245)</f>
        <v>0</v>
      </c>
      <c r="F246" s="201">
        <f t="shared" si="44"/>
        <v>0</v>
      </c>
      <c r="G246" s="201">
        <f t="shared" si="44"/>
        <v>0</v>
      </c>
      <c r="H246" s="201">
        <f t="shared" si="44"/>
        <v>0</v>
      </c>
      <c r="I246" s="201">
        <f t="shared" si="44"/>
        <v>0</v>
      </c>
      <c r="J246" s="201">
        <f t="shared" si="44"/>
        <v>0</v>
      </c>
      <c r="K246" s="201">
        <f t="shared" si="44"/>
        <v>0</v>
      </c>
      <c r="L246" s="201">
        <f t="shared" si="44"/>
        <v>0</v>
      </c>
      <c r="M246" s="201">
        <f t="shared" si="44"/>
        <v>0</v>
      </c>
      <c r="N246" s="201">
        <f t="shared" si="44"/>
        <v>0</v>
      </c>
      <c r="O246" s="201">
        <f t="shared" si="44"/>
        <v>0</v>
      </c>
      <c r="P246" s="348">
        <f t="shared" si="44"/>
        <v>0</v>
      </c>
      <c r="Q246" s="864">
        <f>SUM(Q244:Q245)</f>
        <v>0</v>
      </c>
      <c r="S246" s="58"/>
    </row>
    <row r="247" spans="2:21" x14ac:dyDescent="0.2">
      <c r="B247" s="296"/>
      <c r="C247" s="1" t="str">
        <f t="shared" si="41"/>
        <v>Otros gastos (Servicios exteriores):</v>
      </c>
      <c r="D247" s="901"/>
      <c r="E247" s="624"/>
      <c r="F247" s="624"/>
      <c r="G247" s="624"/>
      <c r="H247" s="624"/>
      <c r="I247" s="624"/>
      <c r="J247" s="624"/>
      <c r="K247" s="624"/>
      <c r="L247" s="624"/>
      <c r="M247" s="624"/>
      <c r="N247" s="624"/>
      <c r="O247" s="624"/>
      <c r="P247" s="781"/>
      <c r="Q247" s="793"/>
      <c r="R247" s="624"/>
      <c r="S247" s="624"/>
      <c r="T247" s="624"/>
      <c r="U247" s="624"/>
    </row>
    <row r="248" spans="2:21" x14ac:dyDescent="0.2">
      <c r="B248" s="296"/>
      <c r="C248" s="150" t="str">
        <f>C91</f>
        <v>Suministros: luz, agua, teléfono, etc.</v>
      </c>
      <c r="D248" s="903">
        <f>D170+(D170*'Previsión de Gastos'!$Q37)</f>
        <v>0</v>
      </c>
      <c r="E248" s="786">
        <f>E170+(E170*'Previsión de Gastos'!$Q37)</f>
        <v>0</v>
      </c>
      <c r="F248" s="786">
        <f>F170+(F170*'Previsión de Gastos'!$Q37)</f>
        <v>0</v>
      </c>
      <c r="G248" s="786">
        <f>G170+(G170*'Previsión de Gastos'!$Q37)</f>
        <v>0</v>
      </c>
      <c r="H248" s="786">
        <f>H170+(H170*'Previsión de Gastos'!$Q37)</f>
        <v>0</v>
      </c>
      <c r="I248" s="786">
        <f>I170+(I170*'Previsión de Gastos'!$Q37)</f>
        <v>0</v>
      </c>
      <c r="J248" s="786">
        <f>J170+(J170*'Previsión de Gastos'!$Q37)</f>
        <v>0</v>
      </c>
      <c r="K248" s="786">
        <f>K170+(K170*'Previsión de Gastos'!$Q37)</f>
        <v>0</v>
      </c>
      <c r="L248" s="786">
        <f>L170+(L170*'Previsión de Gastos'!$Q37)</f>
        <v>0</v>
      </c>
      <c r="M248" s="786">
        <f>M170+(M170*'Previsión de Gastos'!$Q37)</f>
        <v>0</v>
      </c>
      <c r="N248" s="786">
        <f>N170+(N170*'Previsión de Gastos'!$Q37)</f>
        <v>0</v>
      </c>
      <c r="O248" s="786">
        <f>O170+(O170*'Previsión de Gastos'!$Q37)</f>
        <v>0</v>
      </c>
      <c r="P248" s="788"/>
      <c r="Q248" s="1196">
        <f t="shared" ref="Q248:Q257" si="45">SUM(D248:P248)</f>
        <v>0</v>
      </c>
      <c r="R248" s="624"/>
      <c r="S248" s="624"/>
      <c r="T248" s="624"/>
      <c r="U248" s="624"/>
    </row>
    <row r="249" spans="2:21" x14ac:dyDescent="0.2">
      <c r="B249" s="296"/>
      <c r="C249" s="156" t="str">
        <f t="shared" ref="C249:C259" si="46">C92</f>
        <v>Servicios de profesionales indep.</v>
      </c>
      <c r="D249" s="897">
        <f>D171+(D171*'Previsión de Gastos'!$Q38)</f>
        <v>0</v>
      </c>
      <c r="E249" s="671">
        <f>E171+(E171*'Previsión de Gastos'!$Q38)</f>
        <v>0</v>
      </c>
      <c r="F249" s="671">
        <f>F171+(F171*'Previsión de Gastos'!$Q38)</f>
        <v>0</v>
      </c>
      <c r="G249" s="671">
        <f>G171+(G171*'Previsión de Gastos'!$Q38)</f>
        <v>0</v>
      </c>
      <c r="H249" s="671">
        <f>H171+(H171*'Previsión de Gastos'!$Q38)</f>
        <v>0</v>
      </c>
      <c r="I249" s="671">
        <f>I171+(I171*'Previsión de Gastos'!$Q38)</f>
        <v>0</v>
      </c>
      <c r="J249" s="671">
        <f>J171+(J171*'Previsión de Gastos'!$Q38)</f>
        <v>0</v>
      </c>
      <c r="K249" s="671">
        <f>K171+(K171*'Previsión de Gastos'!$Q38)</f>
        <v>0</v>
      </c>
      <c r="L249" s="671">
        <f>L171+(L171*'Previsión de Gastos'!$Q38)</f>
        <v>0</v>
      </c>
      <c r="M249" s="671">
        <f>M171+(M171*'Previsión de Gastos'!$Q38)</f>
        <v>0</v>
      </c>
      <c r="N249" s="671">
        <f>N171+(N171*'Previsión de Gastos'!$Q38)</f>
        <v>0</v>
      </c>
      <c r="O249" s="671">
        <f>O171+(O171*'Previsión de Gastos'!$Q38)</f>
        <v>0</v>
      </c>
      <c r="P249" s="647"/>
      <c r="Q249" s="920">
        <f t="shared" si="45"/>
        <v>0</v>
      </c>
      <c r="R249" s="624"/>
      <c r="S249" s="624"/>
      <c r="T249" s="624"/>
      <c r="U249" s="624"/>
    </row>
    <row r="250" spans="2:21" x14ac:dyDescent="0.2">
      <c r="B250" s="296"/>
      <c r="C250" s="156" t="str">
        <f t="shared" si="46"/>
        <v>Material de oficina</v>
      </c>
      <c r="D250" s="897">
        <f>D172+(D172*'Previsión de Gastos'!$Q39)</f>
        <v>0</v>
      </c>
      <c r="E250" s="671">
        <f>E172+(E172*'Previsión de Gastos'!$Q39)</f>
        <v>0</v>
      </c>
      <c r="F250" s="671">
        <f>F172+(F172*'Previsión de Gastos'!$Q39)</f>
        <v>0</v>
      </c>
      <c r="G250" s="671">
        <f>G172+(G172*'Previsión de Gastos'!$Q39)</f>
        <v>0</v>
      </c>
      <c r="H250" s="671">
        <f>H172+(H172*'Previsión de Gastos'!$Q39)</f>
        <v>0</v>
      </c>
      <c r="I250" s="671">
        <f>I172+(I172*'Previsión de Gastos'!$Q39)</f>
        <v>0</v>
      </c>
      <c r="J250" s="671">
        <f>J172+(J172*'Previsión de Gastos'!$Q39)</f>
        <v>0</v>
      </c>
      <c r="K250" s="671">
        <f>K172+(K172*'Previsión de Gastos'!$Q39)</f>
        <v>0</v>
      </c>
      <c r="L250" s="671">
        <f>L172+(L172*'Previsión de Gastos'!$Q39)</f>
        <v>0</v>
      </c>
      <c r="M250" s="671">
        <f>M172+(M172*'Previsión de Gastos'!$Q39)</f>
        <v>0</v>
      </c>
      <c r="N250" s="671">
        <f>N172+(N172*'Previsión de Gastos'!$Q39)</f>
        <v>0</v>
      </c>
      <c r="O250" s="671">
        <f>O172+(O172*'Previsión de Gastos'!$Q39)</f>
        <v>0</v>
      </c>
      <c r="P250" s="647"/>
      <c r="Q250" s="920">
        <f t="shared" si="45"/>
        <v>0</v>
      </c>
      <c r="R250" s="624"/>
      <c r="S250" s="624"/>
      <c r="T250" s="624"/>
      <c r="U250" s="624"/>
    </row>
    <row r="251" spans="2:21" x14ac:dyDescent="0.2">
      <c r="B251" s="296"/>
      <c r="C251" s="156" t="str">
        <f t="shared" si="46"/>
        <v>Primas de Seguros</v>
      </c>
      <c r="D251" s="905">
        <f>D173+(D173*'Previsión de Gastos'!$Q40)</f>
        <v>0</v>
      </c>
      <c r="E251" s="289">
        <f>E173+(E173*'Previsión de Gastos'!$Q40)</f>
        <v>0</v>
      </c>
      <c r="F251" s="289">
        <f>F173+(F173*'Previsión de Gastos'!$Q40)</f>
        <v>0</v>
      </c>
      <c r="G251" s="289">
        <f>G173+(G173*'Previsión de Gastos'!$Q40)</f>
        <v>0</v>
      </c>
      <c r="H251" s="289">
        <f>H173+(H173*'Previsión de Gastos'!$Q40)</f>
        <v>0</v>
      </c>
      <c r="I251" s="289">
        <f>I173+(I173*'Previsión de Gastos'!$Q40)</f>
        <v>0</v>
      </c>
      <c r="J251" s="289">
        <f>J173+(J173*'Previsión de Gastos'!$Q40)</f>
        <v>0</v>
      </c>
      <c r="K251" s="289">
        <f>K173+(K173*'Previsión de Gastos'!$Q40)</f>
        <v>0</v>
      </c>
      <c r="L251" s="289">
        <f>L173+(L173*'Previsión de Gastos'!$Q40)</f>
        <v>0</v>
      </c>
      <c r="M251" s="289">
        <f>M173+(M173*'Previsión de Gastos'!$Q40)</f>
        <v>0</v>
      </c>
      <c r="N251" s="289">
        <f>N173+(N173*'Previsión de Gastos'!$Q40)</f>
        <v>0</v>
      </c>
      <c r="O251" s="289">
        <f>O173+(O173*'Previsión de Gastos'!$Q40)</f>
        <v>0</v>
      </c>
      <c r="P251" s="637"/>
      <c r="Q251" s="1193">
        <f t="shared" si="45"/>
        <v>0</v>
      </c>
      <c r="S251" s="58"/>
    </row>
    <row r="252" spans="2:21" x14ac:dyDescent="0.2">
      <c r="B252" s="296"/>
      <c r="C252" s="156" t="str">
        <f t="shared" si="46"/>
        <v>Trabajos realizados por otras empresas</v>
      </c>
      <c r="D252" s="905">
        <f>D174+(D174*'Previsión de Gastos'!$Q41)</f>
        <v>0</v>
      </c>
      <c r="E252" s="289">
        <f>E174+(E174*'Previsión de Gastos'!$Q41)</f>
        <v>0</v>
      </c>
      <c r="F252" s="289">
        <f>F174+(F174*'Previsión de Gastos'!$Q41)</f>
        <v>0</v>
      </c>
      <c r="G252" s="289">
        <f>G174+(G174*'Previsión de Gastos'!$Q41)</f>
        <v>0</v>
      </c>
      <c r="H252" s="289">
        <f>H174+(H174*'Previsión de Gastos'!$Q41)</f>
        <v>0</v>
      </c>
      <c r="I252" s="289">
        <f>I174+(I174*'Previsión de Gastos'!$Q41)</f>
        <v>0</v>
      </c>
      <c r="J252" s="289">
        <f>J174+(J174*'Previsión de Gastos'!$Q41)</f>
        <v>0</v>
      </c>
      <c r="K252" s="289">
        <f>K174+(K174*'Previsión de Gastos'!$Q41)</f>
        <v>0</v>
      </c>
      <c r="L252" s="289">
        <f>L174+(L174*'Previsión de Gastos'!$Q41)</f>
        <v>0</v>
      </c>
      <c r="M252" s="289">
        <f>M174+(M174*'Previsión de Gastos'!$Q41)</f>
        <v>0</v>
      </c>
      <c r="N252" s="289">
        <f>N174+(N174*'Previsión de Gastos'!$Q41)</f>
        <v>0</v>
      </c>
      <c r="O252" s="289">
        <f>O174+(O174*'Previsión de Gastos'!$Q41)</f>
        <v>0</v>
      </c>
      <c r="P252" s="637"/>
      <c r="Q252" s="1193">
        <f t="shared" si="45"/>
        <v>0</v>
      </c>
      <c r="S252" s="58"/>
    </row>
    <row r="253" spans="2:21" x14ac:dyDescent="0.2">
      <c r="B253" s="296"/>
      <c r="C253" s="156" t="str">
        <f t="shared" si="46"/>
        <v>Arrendamientos</v>
      </c>
      <c r="D253" s="897">
        <f>D175+(D175*'Previsión de Gastos'!$Q42)</f>
        <v>0</v>
      </c>
      <c r="E253" s="671">
        <f>E175+(E175*'Previsión de Gastos'!$Q42)</f>
        <v>0</v>
      </c>
      <c r="F253" s="671">
        <f>F175+(F175*'Previsión de Gastos'!$Q42)</f>
        <v>0</v>
      </c>
      <c r="G253" s="671">
        <f>G175+(G175*'Previsión de Gastos'!$Q42)</f>
        <v>0</v>
      </c>
      <c r="H253" s="671">
        <f>H175+(H175*'Previsión de Gastos'!$Q42)</f>
        <v>0</v>
      </c>
      <c r="I253" s="671">
        <f>I175+(I175*'Previsión de Gastos'!$Q42)</f>
        <v>0</v>
      </c>
      <c r="J253" s="671">
        <f>J175+(J175*'Previsión de Gastos'!$Q42)</f>
        <v>0</v>
      </c>
      <c r="K253" s="671">
        <f>K175+(K175*'Previsión de Gastos'!$Q42)</f>
        <v>0</v>
      </c>
      <c r="L253" s="671">
        <f>L175+(L175*'Previsión de Gastos'!$Q42)</f>
        <v>0</v>
      </c>
      <c r="M253" s="671">
        <f>M175+(M175*'Previsión de Gastos'!$Q42)</f>
        <v>0</v>
      </c>
      <c r="N253" s="671">
        <f>N175+(N175*'Previsión de Gastos'!$Q42)</f>
        <v>0</v>
      </c>
      <c r="O253" s="671">
        <f>O175+(O175*'Previsión de Gastos'!$Q42)</f>
        <v>0</v>
      </c>
      <c r="P253" s="647"/>
      <c r="Q253" s="920">
        <f t="shared" si="45"/>
        <v>0</v>
      </c>
      <c r="R253" s="624"/>
      <c r="S253" s="624"/>
      <c r="T253" s="624"/>
      <c r="U253" s="624"/>
    </row>
    <row r="254" spans="2:21" x14ac:dyDescent="0.2">
      <c r="B254" s="296"/>
      <c r="C254" s="156" t="str">
        <f t="shared" si="46"/>
        <v>Mantenimiento y reparación</v>
      </c>
      <c r="D254" s="897">
        <f>D176+(D176*'Previsión de Gastos'!$Q43)</f>
        <v>0</v>
      </c>
      <c r="E254" s="671">
        <f>E176+(E176*'Previsión de Gastos'!$Q43)</f>
        <v>0</v>
      </c>
      <c r="F254" s="671">
        <f>F176+(F176*'Previsión de Gastos'!$Q43)</f>
        <v>0</v>
      </c>
      <c r="G254" s="671">
        <f>G176+(G176*'Previsión de Gastos'!$Q43)</f>
        <v>0</v>
      </c>
      <c r="H254" s="671">
        <f>H176+(H176*'Previsión de Gastos'!$Q43)</f>
        <v>0</v>
      </c>
      <c r="I254" s="671">
        <f>I176+(I176*'Previsión de Gastos'!$Q43)</f>
        <v>0</v>
      </c>
      <c r="J254" s="671">
        <f>J176+(J176*'Previsión de Gastos'!$Q43)</f>
        <v>0</v>
      </c>
      <c r="K254" s="671">
        <f>K176+(K176*'Previsión de Gastos'!$Q43)</f>
        <v>0</v>
      </c>
      <c r="L254" s="671">
        <f>L176+(L176*'Previsión de Gastos'!$Q43)</f>
        <v>0</v>
      </c>
      <c r="M254" s="671">
        <f>M176+(M176*'Previsión de Gastos'!$Q43)</f>
        <v>0</v>
      </c>
      <c r="N254" s="671">
        <f>N176+(N176*'Previsión de Gastos'!$Q43)</f>
        <v>0</v>
      </c>
      <c r="O254" s="671">
        <f>O176+(O176*'Previsión de Gastos'!$Q43)</f>
        <v>0</v>
      </c>
      <c r="P254" s="647"/>
      <c r="Q254" s="920">
        <f t="shared" si="45"/>
        <v>0</v>
      </c>
      <c r="R254" s="624"/>
      <c r="S254" s="624"/>
      <c r="T254" s="624"/>
      <c r="U254" s="624"/>
    </row>
    <row r="255" spans="2:21" x14ac:dyDescent="0.2">
      <c r="B255" s="296"/>
      <c r="C255" s="156" t="str">
        <f t="shared" si="46"/>
        <v>Limpieza</v>
      </c>
      <c r="D255" s="905">
        <f>D177+(D177*'Previsión de Gastos'!$Q44)</f>
        <v>0</v>
      </c>
      <c r="E255" s="289">
        <f>E177+(E177*'Previsión de Gastos'!$Q44)</f>
        <v>0</v>
      </c>
      <c r="F255" s="289">
        <f>F177+(F177*'Previsión de Gastos'!$Q44)</f>
        <v>0</v>
      </c>
      <c r="G255" s="289">
        <f>G177+(G177*'Previsión de Gastos'!$Q44)</f>
        <v>0</v>
      </c>
      <c r="H255" s="289">
        <f>H177+(H177*'Previsión de Gastos'!$Q44)</f>
        <v>0</v>
      </c>
      <c r="I255" s="289">
        <f>I177+(I177*'Previsión de Gastos'!$Q44)</f>
        <v>0</v>
      </c>
      <c r="J255" s="289">
        <f>J177+(J177*'Previsión de Gastos'!$Q44)</f>
        <v>0</v>
      </c>
      <c r="K255" s="289">
        <f>K177+(K177*'Previsión de Gastos'!$Q44)</f>
        <v>0</v>
      </c>
      <c r="L255" s="289">
        <f>L177+(L177*'Previsión de Gastos'!$Q44)</f>
        <v>0</v>
      </c>
      <c r="M255" s="289">
        <f>M177+(M177*'Previsión de Gastos'!$Q44)</f>
        <v>0</v>
      </c>
      <c r="N255" s="289">
        <f>N177+(N177*'Previsión de Gastos'!$Q44)</f>
        <v>0</v>
      </c>
      <c r="O255" s="289">
        <f>O177+(O177*'Previsión de Gastos'!$Q44)</f>
        <v>0</v>
      </c>
      <c r="P255" s="637"/>
      <c r="Q255" s="1193">
        <f t="shared" si="45"/>
        <v>0</v>
      </c>
      <c r="S255" s="58"/>
    </row>
    <row r="256" spans="2:21" x14ac:dyDescent="0.2">
      <c r="B256" s="296"/>
      <c r="C256" s="156" t="str">
        <f t="shared" si="46"/>
        <v>Hosting</v>
      </c>
      <c r="D256" s="905">
        <f>D178+(D178*'Previsión de Gastos'!$Q45)</f>
        <v>0</v>
      </c>
      <c r="E256" s="289">
        <f>E178+(E178*'Previsión de Gastos'!$Q45)</f>
        <v>0</v>
      </c>
      <c r="F256" s="289">
        <f>F178+(F178*'Previsión de Gastos'!$Q45)</f>
        <v>0</v>
      </c>
      <c r="G256" s="289">
        <f>G178+(G178*'Previsión de Gastos'!$Q45)</f>
        <v>0</v>
      </c>
      <c r="H256" s="289">
        <f>H178+(H178*'Previsión de Gastos'!$Q45)</f>
        <v>0</v>
      </c>
      <c r="I256" s="289">
        <f>I178+(I178*'Previsión de Gastos'!$Q45)</f>
        <v>0</v>
      </c>
      <c r="J256" s="289">
        <f>J178+(J178*'Previsión de Gastos'!$Q45)</f>
        <v>0</v>
      </c>
      <c r="K256" s="289">
        <f>K178+(K178*'Previsión de Gastos'!$Q45)</f>
        <v>0</v>
      </c>
      <c r="L256" s="289">
        <f>L178+(L178*'Previsión de Gastos'!$Q45)</f>
        <v>0</v>
      </c>
      <c r="M256" s="289">
        <f>M178+(M178*'Previsión de Gastos'!$Q45)</f>
        <v>0</v>
      </c>
      <c r="N256" s="289">
        <f>N178+(N178*'Previsión de Gastos'!$Q45)</f>
        <v>0</v>
      </c>
      <c r="O256" s="289">
        <f>O178+(O178*'Previsión de Gastos'!$Q45)</f>
        <v>0</v>
      </c>
      <c r="P256" s="637"/>
      <c r="Q256" s="1193">
        <f t="shared" si="45"/>
        <v>0</v>
      </c>
      <c r="S256" s="58"/>
    </row>
    <row r="257" spans="2:21" x14ac:dyDescent="0.2">
      <c r="B257" s="296"/>
      <c r="C257" s="156" t="str">
        <f t="shared" si="46"/>
        <v>Varios</v>
      </c>
      <c r="D257" s="905">
        <f>D179+(D179*'Previsión de Gastos'!$Q46)</f>
        <v>0</v>
      </c>
      <c r="E257" s="289">
        <f>E179+(E179*'Previsión de Gastos'!$Q46)</f>
        <v>0</v>
      </c>
      <c r="F257" s="289">
        <f>F179+(F179*'Previsión de Gastos'!$Q46)</f>
        <v>0</v>
      </c>
      <c r="G257" s="289">
        <f>G179+(G179*'Previsión de Gastos'!$Q46)</f>
        <v>0</v>
      </c>
      <c r="H257" s="289">
        <f>H179+(H179*'Previsión de Gastos'!$Q46)</f>
        <v>0</v>
      </c>
      <c r="I257" s="289">
        <f>I179+(I179*'Previsión de Gastos'!$Q46)</f>
        <v>0</v>
      </c>
      <c r="J257" s="289">
        <f>J179+(J179*'Previsión de Gastos'!$Q46)</f>
        <v>0</v>
      </c>
      <c r="K257" s="289">
        <f>K179+(K179*'Previsión de Gastos'!$Q46)</f>
        <v>0</v>
      </c>
      <c r="L257" s="289">
        <f>L179+(L179*'Previsión de Gastos'!$Q46)</f>
        <v>0</v>
      </c>
      <c r="M257" s="289">
        <f>M179+(M179*'Previsión de Gastos'!$Q46)</f>
        <v>0</v>
      </c>
      <c r="N257" s="289">
        <f>N179+(N179*'Previsión de Gastos'!$Q46)</f>
        <v>0</v>
      </c>
      <c r="O257" s="289">
        <f>O179+(O179*'Previsión de Gastos'!$Q46)</f>
        <v>0</v>
      </c>
      <c r="P257" s="637"/>
      <c r="Q257" s="1193">
        <f t="shared" si="45"/>
        <v>0</v>
      </c>
      <c r="S257" s="58"/>
    </row>
    <row r="258" spans="2:21" s="1" customFormat="1" x14ac:dyDescent="0.2">
      <c r="B258" s="296"/>
      <c r="C258" s="300" t="str">
        <f t="shared" si="46"/>
        <v>Total</v>
      </c>
      <c r="D258" s="295">
        <f>SUM(D248:D257)</f>
        <v>0</v>
      </c>
      <c r="E258" s="295">
        <f t="shared" ref="E258:O258" si="47">SUM(E248:E257)</f>
        <v>0</v>
      </c>
      <c r="F258" s="295">
        <f t="shared" si="47"/>
        <v>0</v>
      </c>
      <c r="G258" s="295">
        <f t="shared" si="47"/>
        <v>0</v>
      </c>
      <c r="H258" s="295">
        <f t="shared" si="47"/>
        <v>0</v>
      </c>
      <c r="I258" s="295">
        <f t="shared" si="47"/>
        <v>0</v>
      </c>
      <c r="J258" s="295">
        <f t="shared" si="47"/>
        <v>0</v>
      </c>
      <c r="K258" s="295">
        <f t="shared" si="47"/>
        <v>0</v>
      </c>
      <c r="L258" s="295">
        <f t="shared" si="47"/>
        <v>0</v>
      </c>
      <c r="M258" s="295">
        <f t="shared" si="47"/>
        <v>0</v>
      </c>
      <c r="N258" s="295">
        <f t="shared" si="47"/>
        <v>0</v>
      </c>
      <c r="O258" s="295">
        <f t="shared" si="47"/>
        <v>0</v>
      </c>
      <c r="P258" s="639"/>
      <c r="Q258" s="363">
        <f>SUM(Q248:Q257)</f>
        <v>0</v>
      </c>
      <c r="S258" s="58"/>
    </row>
    <row r="259" spans="2:21" x14ac:dyDescent="0.2">
      <c r="B259" s="296"/>
      <c r="C259" s="156" t="str">
        <f t="shared" si="46"/>
        <v>IVA soportado(*)</v>
      </c>
      <c r="D259" s="289">
        <f>IF('Datos generales'!$D$22&lt;=0,'Datos generales'!$D$19*D258,0)</f>
        <v>0</v>
      </c>
      <c r="E259" s="289">
        <f>IF('Datos generales'!$D$22&lt;=0,'Datos generales'!$D$19*E258,0)</f>
        <v>0</v>
      </c>
      <c r="F259" s="289">
        <f>IF('Datos generales'!$D$22&lt;=0,'Datos generales'!$D$19*F258,0)</f>
        <v>0</v>
      </c>
      <c r="G259" s="289">
        <f>IF('Datos generales'!$D$22&lt;=0,'Datos generales'!$D$19*G258,0)</f>
        <v>0</v>
      </c>
      <c r="H259" s="289">
        <f>IF('Datos generales'!$D$22&lt;=0,'Datos generales'!$D$19*H258,0)</f>
        <v>0</v>
      </c>
      <c r="I259" s="289">
        <f>IF('Datos generales'!$D$22&lt;=0,'Datos generales'!$D$19*I258,0)</f>
        <v>0</v>
      </c>
      <c r="J259" s="289">
        <f>IF('Datos generales'!$D$22&lt;=0,'Datos generales'!$D$19*J258,0)</f>
        <v>0</v>
      </c>
      <c r="K259" s="289">
        <f>IF('Datos generales'!$D$22&lt;=0,'Datos generales'!$D$19*K258,0)</f>
        <v>0</v>
      </c>
      <c r="L259" s="289">
        <f>IF('Datos generales'!$D$22&lt;=0,'Datos generales'!$D$19*L258,0)</f>
        <v>0</v>
      </c>
      <c r="M259" s="289">
        <f>IF('Datos generales'!$D$22&lt;=0,'Datos generales'!$D$19*M258,0)</f>
        <v>0</v>
      </c>
      <c r="N259" s="289">
        <f>IF('Datos generales'!$D$22&lt;=0,'Datos generales'!$D$19*N258,0)</f>
        <v>0</v>
      </c>
      <c r="O259" s="289">
        <f>IF('Datos generales'!$D$22&lt;=0,'Datos generales'!$D$19*O258,0)</f>
        <v>0</v>
      </c>
      <c r="P259" s="637"/>
      <c r="Q259" s="1193">
        <f>SUM(D259:P259)</f>
        <v>0</v>
      </c>
      <c r="S259" s="58"/>
    </row>
    <row r="260" spans="2:21" x14ac:dyDescent="0.2">
      <c r="B260" s="296"/>
      <c r="C260" s="476" t="str">
        <f>C103</f>
        <v>Total Otros gastos (Servicios exteriores)</v>
      </c>
      <c r="D260" s="909">
        <f>SUM(D258:D259)</f>
        <v>0</v>
      </c>
      <c r="E260" s="865">
        <f t="shared" ref="E260:P260" si="48">SUM(E258:E259)</f>
        <v>0</v>
      </c>
      <c r="F260" s="865">
        <f t="shared" si="48"/>
        <v>0</v>
      </c>
      <c r="G260" s="865">
        <f t="shared" si="48"/>
        <v>0</v>
      </c>
      <c r="H260" s="865">
        <f t="shared" si="48"/>
        <v>0</v>
      </c>
      <c r="I260" s="865">
        <f t="shared" si="48"/>
        <v>0</v>
      </c>
      <c r="J260" s="865">
        <f t="shared" si="48"/>
        <v>0</v>
      </c>
      <c r="K260" s="865">
        <f t="shared" si="48"/>
        <v>0</v>
      </c>
      <c r="L260" s="865">
        <f t="shared" si="48"/>
        <v>0</v>
      </c>
      <c r="M260" s="865">
        <f t="shared" si="48"/>
        <v>0</v>
      </c>
      <c r="N260" s="865">
        <f t="shared" si="48"/>
        <v>0</v>
      </c>
      <c r="O260" s="865">
        <f t="shared" si="48"/>
        <v>0</v>
      </c>
      <c r="P260" s="646">
        <f t="shared" si="48"/>
        <v>0</v>
      </c>
      <c r="Q260" s="866">
        <f>SUM(Q258:Q259)</f>
        <v>0</v>
      </c>
      <c r="R260" s="624"/>
      <c r="S260" s="624"/>
      <c r="T260" s="624"/>
      <c r="U260" s="624"/>
    </row>
    <row r="261" spans="2:21" x14ac:dyDescent="0.2">
      <c r="B261" s="296"/>
      <c r="D261" s="901"/>
      <c r="E261" s="624"/>
      <c r="F261" s="624"/>
      <c r="G261" s="624"/>
      <c r="H261" s="624"/>
      <c r="I261" s="624"/>
      <c r="J261" s="624"/>
      <c r="K261" s="624"/>
      <c r="L261" s="624"/>
      <c r="M261" s="624"/>
      <c r="N261" s="624"/>
      <c r="O261" s="624"/>
      <c r="P261" s="781"/>
      <c r="Q261" s="801"/>
      <c r="R261" s="624"/>
      <c r="S261" s="624"/>
      <c r="T261" s="624"/>
      <c r="U261" s="624"/>
    </row>
    <row r="262" spans="2:21" ht="15" x14ac:dyDescent="0.25">
      <c r="B262" s="867" t="str">
        <f>B105</f>
        <v>Total Otros gastos de explotación</v>
      </c>
      <c r="C262" s="868"/>
      <c r="D262" s="910">
        <f t="shared" ref="D262:P262" ca="1" si="49">D239+D246+D260</f>
        <v>0</v>
      </c>
      <c r="E262" s="869">
        <f t="shared" ca="1" si="49"/>
        <v>0</v>
      </c>
      <c r="F262" s="869">
        <f t="shared" ca="1" si="49"/>
        <v>0</v>
      </c>
      <c r="G262" s="869">
        <f t="shared" ca="1" si="49"/>
        <v>0</v>
      </c>
      <c r="H262" s="869">
        <f t="shared" ca="1" si="49"/>
        <v>0</v>
      </c>
      <c r="I262" s="869">
        <f t="shared" ca="1" si="49"/>
        <v>0</v>
      </c>
      <c r="J262" s="869">
        <f t="shared" ca="1" si="49"/>
        <v>0</v>
      </c>
      <c r="K262" s="869">
        <f t="shared" ca="1" si="49"/>
        <v>0</v>
      </c>
      <c r="L262" s="869">
        <f t="shared" ca="1" si="49"/>
        <v>0</v>
      </c>
      <c r="M262" s="869">
        <f t="shared" ca="1" si="49"/>
        <v>0</v>
      </c>
      <c r="N262" s="869">
        <f t="shared" ca="1" si="49"/>
        <v>0</v>
      </c>
      <c r="O262" s="869">
        <f t="shared" ca="1" si="49"/>
        <v>0</v>
      </c>
      <c r="P262" s="870">
        <f t="shared" si="49"/>
        <v>0</v>
      </c>
      <c r="Q262" s="871">
        <f ca="1">SUM(D262:P262)</f>
        <v>0</v>
      </c>
      <c r="R262" s="624"/>
      <c r="S262" s="790"/>
      <c r="T262" s="624"/>
      <c r="U262" s="624"/>
    </row>
    <row r="263" spans="2:21" x14ac:dyDescent="0.2">
      <c r="B263" s="296"/>
      <c r="D263" s="893"/>
      <c r="E263" s="626"/>
      <c r="F263" s="626"/>
      <c r="G263" s="626"/>
      <c r="H263" s="626"/>
      <c r="I263" s="626"/>
      <c r="J263" s="626"/>
      <c r="K263" s="626"/>
      <c r="L263" s="626"/>
      <c r="M263" s="626"/>
      <c r="N263" s="626"/>
      <c r="O263" s="626"/>
      <c r="P263" s="781"/>
      <c r="Q263" s="793"/>
      <c r="R263" s="624"/>
      <c r="S263" s="624"/>
      <c r="T263" s="624"/>
      <c r="U263" s="624"/>
    </row>
    <row r="264" spans="2:21" x14ac:dyDescent="0.2">
      <c r="B264" s="632" t="str">
        <f>B108</f>
        <v>Amortización del inmovilizado</v>
      </c>
      <c r="C264" s="464"/>
      <c r="D264" s="903">
        <f>'AMORTIZACION CONTABLE'!L38/12</f>
        <v>0</v>
      </c>
      <c r="E264" s="786">
        <f>$D264</f>
        <v>0</v>
      </c>
      <c r="F264" s="786">
        <f t="shared" ref="F264:O264" si="50">$D264</f>
        <v>0</v>
      </c>
      <c r="G264" s="786">
        <f t="shared" si="50"/>
        <v>0</v>
      </c>
      <c r="H264" s="786">
        <f t="shared" si="50"/>
        <v>0</v>
      </c>
      <c r="I264" s="786">
        <f t="shared" si="50"/>
        <v>0</v>
      </c>
      <c r="J264" s="786">
        <f t="shared" si="50"/>
        <v>0</v>
      </c>
      <c r="K264" s="786">
        <f t="shared" si="50"/>
        <v>0</v>
      </c>
      <c r="L264" s="786">
        <f t="shared" si="50"/>
        <v>0</v>
      </c>
      <c r="M264" s="786">
        <f t="shared" si="50"/>
        <v>0</v>
      </c>
      <c r="N264" s="786">
        <f t="shared" si="50"/>
        <v>0</v>
      </c>
      <c r="O264" s="786">
        <f t="shared" si="50"/>
        <v>0</v>
      </c>
      <c r="P264" s="788"/>
      <c r="Q264" s="1196">
        <f>SUM(D264:P264)</f>
        <v>0</v>
      </c>
      <c r="R264" s="624"/>
      <c r="S264" s="624"/>
      <c r="T264" s="624"/>
      <c r="U264" s="624"/>
    </row>
    <row r="265" spans="2:21" ht="6" customHeight="1" x14ac:dyDescent="0.2">
      <c r="B265" s="210"/>
      <c r="C265" s="1"/>
      <c r="D265" s="896"/>
      <c r="E265" s="625"/>
      <c r="F265" s="625"/>
      <c r="G265" s="625"/>
      <c r="H265" s="625"/>
      <c r="I265" s="625"/>
      <c r="J265" s="625"/>
      <c r="K265" s="625"/>
      <c r="L265" s="625"/>
      <c r="M265" s="625"/>
      <c r="N265" s="625"/>
      <c r="O265" s="625"/>
      <c r="P265" s="781"/>
      <c r="Q265" s="1195"/>
      <c r="R265" s="624"/>
      <c r="S265" s="624"/>
      <c r="T265" s="624"/>
      <c r="U265" s="624"/>
    </row>
    <row r="266" spans="2:21" ht="24.75" customHeight="1" x14ac:dyDescent="0.2">
      <c r="B266" s="1372" t="str">
        <f>B110</f>
        <v>Imputación de subvenciones de inmovilizado no financiero y otras:</v>
      </c>
      <c r="C266" s="1373"/>
      <c r="D266" s="902"/>
      <c r="E266" s="299"/>
      <c r="F266" s="299"/>
      <c r="G266" s="299"/>
      <c r="H266" s="299"/>
      <c r="I266" s="299"/>
      <c r="J266" s="299"/>
      <c r="K266" s="299"/>
      <c r="L266" s="299"/>
      <c r="M266" s="299"/>
      <c r="N266" s="299"/>
      <c r="O266" s="299"/>
      <c r="P266" s="640">
        <f>'Entrada Inver_Finan'!G102+'Entrada Inver_Finan'!G103</f>
        <v>0</v>
      </c>
      <c r="Q266" s="1194">
        <f>SUM(D266:P266)</f>
        <v>0</v>
      </c>
      <c r="S266" s="58"/>
    </row>
    <row r="267" spans="2:21" ht="15" x14ac:dyDescent="0.25">
      <c r="B267" s="210"/>
      <c r="C267" s="1"/>
      <c r="D267" s="1044"/>
      <c r="E267" s="790"/>
      <c r="F267" s="790"/>
      <c r="G267" s="790"/>
      <c r="H267" s="790"/>
      <c r="I267" s="790"/>
      <c r="J267" s="790"/>
      <c r="K267" s="790"/>
      <c r="L267" s="790"/>
      <c r="M267" s="790"/>
      <c r="N267" s="790"/>
      <c r="O267" s="790"/>
      <c r="P267" s="1045"/>
      <c r="Q267" s="1046"/>
      <c r="R267" s="624"/>
      <c r="S267" s="624"/>
      <c r="T267" s="624"/>
      <c r="U267" s="624"/>
    </row>
    <row r="268" spans="2:21" ht="15.75" x14ac:dyDescent="0.25">
      <c r="B268" s="861" t="str">
        <f>B112</f>
        <v>RESULTADO DE EXPLOTACIÓN</v>
      </c>
      <c r="C268" s="872"/>
      <c r="D268" s="910">
        <f t="shared" ref="D268:O268" ca="1" si="51">D221-D230-D262-D264+D266</f>
        <v>0</v>
      </c>
      <c r="E268" s="869">
        <f t="shared" ca="1" si="51"/>
        <v>0</v>
      </c>
      <c r="F268" s="869">
        <f t="shared" ca="1" si="51"/>
        <v>0</v>
      </c>
      <c r="G268" s="869">
        <f t="shared" ca="1" si="51"/>
        <v>0</v>
      </c>
      <c r="H268" s="869">
        <f t="shared" ca="1" si="51"/>
        <v>0</v>
      </c>
      <c r="I268" s="869">
        <f t="shared" ca="1" si="51"/>
        <v>0</v>
      </c>
      <c r="J268" s="869">
        <f t="shared" ca="1" si="51"/>
        <v>0</v>
      </c>
      <c r="K268" s="869">
        <f t="shared" ca="1" si="51"/>
        <v>0</v>
      </c>
      <c r="L268" s="869">
        <f t="shared" ca="1" si="51"/>
        <v>0</v>
      </c>
      <c r="M268" s="869">
        <f t="shared" ca="1" si="51"/>
        <v>0</v>
      </c>
      <c r="N268" s="869">
        <f t="shared" ca="1" si="51"/>
        <v>0</v>
      </c>
      <c r="O268" s="869">
        <f t="shared" ca="1" si="51"/>
        <v>0</v>
      </c>
      <c r="P268" s="870">
        <f>P212-P230-P262-P264+P266</f>
        <v>0</v>
      </c>
      <c r="Q268" s="871">
        <f ca="1">SUM(D268:P268)</f>
        <v>0</v>
      </c>
      <c r="R268" s="624"/>
      <c r="S268" s="624"/>
      <c r="T268" s="624"/>
      <c r="U268" s="624"/>
    </row>
    <row r="269" spans="2:21" x14ac:dyDescent="0.2">
      <c r="B269" s="210" t="str">
        <f>B113</f>
        <v>Ingresos financieros</v>
      </c>
      <c r="C269" s="1"/>
      <c r="D269" s="911"/>
      <c r="E269" s="1"/>
      <c r="F269" s="1"/>
      <c r="G269" s="1"/>
      <c r="H269" s="1"/>
      <c r="I269" s="1"/>
      <c r="J269" s="1"/>
      <c r="K269" s="1"/>
      <c r="L269" s="1"/>
      <c r="M269" s="1"/>
      <c r="N269" s="1"/>
      <c r="O269" s="1"/>
      <c r="P269" s="161"/>
      <c r="Q269" s="571"/>
      <c r="S269" s="58"/>
    </row>
    <row r="270" spans="2:21" x14ac:dyDescent="0.2">
      <c r="B270" s="296"/>
      <c r="C270" s="150">
        <f>C114</f>
        <v>0</v>
      </c>
      <c r="D270" s="902">
        <f>D192+D192*'Previsión de Gastos'!$Q53</f>
        <v>0</v>
      </c>
      <c r="E270" s="299">
        <f>E192+E192*'Previsión de Gastos'!$Q53</f>
        <v>0</v>
      </c>
      <c r="F270" s="299">
        <f>F192+F192*'Previsión de Gastos'!$Q53</f>
        <v>0</v>
      </c>
      <c r="G270" s="299">
        <f>G192+G192*'Previsión de Gastos'!$Q53</f>
        <v>0</v>
      </c>
      <c r="H270" s="299">
        <f>H192+H192*'Previsión de Gastos'!$Q53</f>
        <v>0</v>
      </c>
      <c r="I270" s="299">
        <f>I192+I192*'Previsión de Gastos'!$Q53</f>
        <v>0</v>
      </c>
      <c r="J270" s="299">
        <f>J192+J192*'Previsión de Gastos'!$Q53</f>
        <v>0</v>
      </c>
      <c r="K270" s="299">
        <f>K192+K192*'Previsión de Gastos'!$Q53</f>
        <v>0</v>
      </c>
      <c r="L270" s="299">
        <f>L192+L192*'Previsión de Gastos'!$Q53</f>
        <v>0</v>
      </c>
      <c r="M270" s="299">
        <f>M192+M192*'Previsión de Gastos'!$Q53</f>
        <v>0</v>
      </c>
      <c r="N270" s="299">
        <f>N192+N192*'Previsión de Gastos'!$Q53</f>
        <v>0</v>
      </c>
      <c r="O270" s="299">
        <f>O192+O192*'Previsión de Gastos'!$Q53</f>
        <v>0</v>
      </c>
      <c r="P270" s="638"/>
      <c r="Q270" s="1194">
        <f>SUM(D270:P270)</f>
        <v>0</v>
      </c>
      <c r="S270" s="58"/>
    </row>
    <row r="271" spans="2:21" x14ac:dyDescent="0.2">
      <c r="B271" s="296"/>
      <c r="C271" s="156">
        <f>C115</f>
        <v>0</v>
      </c>
      <c r="D271" s="905">
        <f>D193+D193*'Previsión de Gastos'!$Q54</f>
        <v>0</v>
      </c>
      <c r="E271" s="289">
        <f>E193+E193*'Previsión de Gastos'!$Q54</f>
        <v>0</v>
      </c>
      <c r="F271" s="289">
        <f>F193+F193*'Previsión de Gastos'!$Q54</f>
        <v>0</v>
      </c>
      <c r="G271" s="289">
        <f>G193+G193*'Previsión de Gastos'!$Q54</f>
        <v>0</v>
      </c>
      <c r="H271" s="289">
        <f>H193+H193*'Previsión de Gastos'!$Q54</f>
        <v>0</v>
      </c>
      <c r="I271" s="289">
        <f>I193+I193*'Previsión de Gastos'!$Q54</f>
        <v>0</v>
      </c>
      <c r="J271" s="289">
        <f>J193+J193*'Previsión de Gastos'!$Q54</f>
        <v>0</v>
      </c>
      <c r="K271" s="289">
        <f>K193+K193*'Previsión de Gastos'!$Q54</f>
        <v>0</v>
      </c>
      <c r="L271" s="289">
        <f>L193+L193*'Previsión de Gastos'!$Q54</f>
        <v>0</v>
      </c>
      <c r="M271" s="289">
        <f>M193+M193*'Previsión de Gastos'!$Q54</f>
        <v>0</v>
      </c>
      <c r="N271" s="289">
        <f>N193+N193*'Previsión de Gastos'!$Q54</f>
        <v>0</v>
      </c>
      <c r="O271" s="289">
        <f>O193+O193*'Previsión de Gastos'!$Q54</f>
        <v>0</v>
      </c>
      <c r="P271" s="637"/>
      <c r="Q271" s="1193">
        <f>SUM(D271:P271)</f>
        <v>0</v>
      </c>
      <c r="S271" s="58"/>
    </row>
    <row r="272" spans="2:21" x14ac:dyDescent="0.2">
      <c r="B272" s="859" t="str">
        <f>B116</f>
        <v>Total Ingresos financieros</v>
      </c>
      <c r="C272" s="476"/>
      <c r="D272" s="906">
        <f t="shared" ref="D272:P272" si="52">SUM(D270:D271)</f>
        <v>0</v>
      </c>
      <c r="E272" s="201">
        <f t="shared" si="52"/>
        <v>0</v>
      </c>
      <c r="F272" s="201">
        <f t="shared" si="52"/>
        <v>0</v>
      </c>
      <c r="G272" s="201">
        <f t="shared" si="52"/>
        <v>0</v>
      </c>
      <c r="H272" s="201">
        <f t="shared" si="52"/>
        <v>0</v>
      </c>
      <c r="I272" s="201">
        <f t="shared" si="52"/>
        <v>0</v>
      </c>
      <c r="J272" s="201">
        <f t="shared" si="52"/>
        <v>0</v>
      </c>
      <c r="K272" s="201">
        <f t="shared" si="52"/>
        <v>0</v>
      </c>
      <c r="L272" s="201">
        <f t="shared" si="52"/>
        <v>0</v>
      </c>
      <c r="M272" s="201">
        <f t="shared" si="52"/>
        <v>0</v>
      </c>
      <c r="N272" s="201">
        <f t="shared" si="52"/>
        <v>0</v>
      </c>
      <c r="O272" s="201">
        <f t="shared" si="52"/>
        <v>0</v>
      </c>
      <c r="P272" s="201">
        <f t="shared" si="52"/>
        <v>0</v>
      </c>
      <c r="Q272" s="877">
        <f>SUM(Q270:Q271)</f>
        <v>0</v>
      </c>
      <c r="S272" s="58"/>
    </row>
    <row r="273" spans="2:21" x14ac:dyDescent="0.2">
      <c r="B273" s="210" t="str">
        <f>B117</f>
        <v>Gastos financieros:</v>
      </c>
      <c r="C273" s="1"/>
      <c r="D273" s="901"/>
      <c r="E273" s="624"/>
      <c r="F273" s="624"/>
      <c r="G273" s="624"/>
      <c r="H273" s="624"/>
      <c r="I273" s="624"/>
      <c r="J273" s="624"/>
      <c r="K273" s="624"/>
      <c r="L273" s="624"/>
      <c r="M273" s="624"/>
      <c r="N273" s="624"/>
      <c r="O273" s="624"/>
      <c r="P273" s="781"/>
      <c r="Q273" s="793"/>
      <c r="R273" s="624"/>
      <c r="S273" s="624"/>
      <c r="T273" s="624"/>
      <c r="U273" s="624"/>
    </row>
    <row r="274" spans="2:21" x14ac:dyDescent="0.2">
      <c r="B274" s="296"/>
      <c r="C274" s="150" t="str">
        <f>C118</f>
        <v>Gastos amortización préstamos Largo Plazo</v>
      </c>
      <c r="D274" s="908">
        <f ca="1">OFFSET('Préstamos LP'!$E$59,'Datos generales'!D1,0,1,1)</f>
        <v>0</v>
      </c>
      <c r="E274" s="787">
        <f ca="1">OFFSET('Préstamos LP'!$E$59,'Datos generales'!E1,0,1,1)</f>
        <v>0</v>
      </c>
      <c r="F274" s="787">
        <f ca="1">OFFSET('Préstamos LP'!$E$59,'Datos generales'!F1,0,1,1)</f>
        <v>0</v>
      </c>
      <c r="G274" s="787">
        <f ca="1">OFFSET('Préstamos LP'!$E$59,'Datos generales'!G1,0,1,1)</f>
        <v>0</v>
      </c>
      <c r="H274" s="787">
        <f ca="1">OFFSET('Préstamos LP'!$E$59,'Datos generales'!H1,0,1,1)</f>
        <v>0</v>
      </c>
      <c r="I274" s="787">
        <f ca="1">OFFSET('Préstamos LP'!$E$59,'Datos generales'!I1,0,1,1)</f>
        <v>0</v>
      </c>
      <c r="J274" s="787">
        <f ca="1">OFFSET('Préstamos LP'!$E$59,'Datos generales'!J1,0,1,1)</f>
        <v>0</v>
      </c>
      <c r="K274" s="787">
        <f ca="1">OFFSET('Préstamos LP'!$E$59,'Datos generales'!K1,0,1,1)</f>
        <v>0</v>
      </c>
      <c r="L274" s="787">
        <f ca="1">OFFSET('Préstamos LP'!$E$59,'Datos generales'!L1,0,1,1)</f>
        <v>0</v>
      </c>
      <c r="M274" s="787">
        <f ca="1">OFFSET('Préstamos LP'!$E$59,'Datos generales'!M1,0,1,1)</f>
        <v>0</v>
      </c>
      <c r="N274" s="787">
        <f ca="1">OFFSET('Préstamos LP'!$E$59,'Datos generales'!N1,0,1,1)</f>
        <v>0</v>
      </c>
      <c r="O274" s="787">
        <f ca="1">OFFSET('Préstamos LP'!$E$59,'Datos generales'!O1,0,1,1)</f>
        <v>0</v>
      </c>
      <c r="P274" s="788"/>
      <c r="Q274" s="1196">
        <f ca="1">SUM(D274:P274)</f>
        <v>0</v>
      </c>
      <c r="R274" s="624"/>
      <c r="S274" s="624"/>
      <c r="T274" s="624"/>
      <c r="U274" s="624"/>
    </row>
    <row r="275" spans="2:21" x14ac:dyDescent="0.2">
      <c r="B275" s="296"/>
      <c r="C275" s="150" t="s">
        <v>428</v>
      </c>
      <c r="D275" s="787">
        <f ca="1">OFFSET('Préstamos LP'!$D$59,'Datos generales'!D1,0,1,1)</f>
        <v>0</v>
      </c>
      <c r="E275" s="787">
        <f ca="1">OFFSET('Préstamos LP'!$D$59,'Datos generales'!E1,0,1,1)</f>
        <v>0</v>
      </c>
      <c r="F275" s="787">
        <f ca="1">OFFSET('Préstamos LP'!$D$59,'Datos generales'!F1,0,1,1)</f>
        <v>0</v>
      </c>
      <c r="G275" s="787">
        <f ca="1">OFFSET('Préstamos LP'!$D$59,'Datos generales'!G1,0,1,1)</f>
        <v>0</v>
      </c>
      <c r="H275" s="787">
        <f ca="1">OFFSET('Préstamos LP'!$D$59,'Datos generales'!H1,0,1,1)</f>
        <v>0</v>
      </c>
      <c r="I275" s="787">
        <f ca="1">OFFSET('Préstamos LP'!$D$59,'Datos generales'!I1,0,1,1)</f>
        <v>0</v>
      </c>
      <c r="J275" s="787">
        <f ca="1">OFFSET('Préstamos LP'!$D$59,'Datos generales'!J1,0,1,1)</f>
        <v>0</v>
      </c>
      <c r="K275" s="787">
        <f ca="1">OFFSET('Préstamos LP'!$D$59,'Datos generales'!K1,0,1,1)</f>
        <v>0</v>
      </c>
      <c r="L275" s="787">
        <f ca="1">OFFSET('Préstamos LP'!$D$59,'Datos generales'!L1,0,1,1)</f>
        <v>0</v>
      </c>
      <c r="M275" s="787">
        <f ca="1">OFFSET('Préstamos LP'!$D$59,'Datos generales'!M1,0,1,1)</f>
        <v>0</v>
      </c>
      <c r="N275" s="787">
        <f ca="1">OFFSET('Préstamos LP'!$D$59,'Datos generales'!N1,0,1,1)</f>
        <v>0</v>
      </c>
      <c r="O275" s="787">
        <f ca="1">OFFSET('Préstamos LP'!$D$59,'Datos generales'!O1,0,1,1)</f>
        <v>0</v>
      </c>
      <c r="P275" s="788"/>
      <c r="Q275" s="1193">
        <f ca="1">SUM(D275:P275)</f>
        <v>0</v>
      </c>
      <c r="R275" s="624"/>
      <c r="S275" s="58"/>
      <c r="T275" s="624"/>
      <c r="U275" s="624"/>
    </row>
    <row r="276" spans="2:21" x14ac:dyDescent="0.2">
      <c r="B276" s="296"/>
      <c r="C276" s="156" t="str">
        <f>C120</f>
        <v>Gastos amortización préstamos Corto Plazo</v>
      </c>
      <c r="D276" s="302">
        <f ca="1">OFFSET('Préstamos CP'!$D$48,'Datos generales'!D1,0,1,1)</f>
        <v>0</v>
      </c>
      <c r="E276" s="302">
        <f ca="1">OFFSET('Préstamos CP'!$D$48,'Datos generales'!E1,0,1,1)</f>
        <v>0</v>
      </c>
      <c r="F276" s="302">
        <f ca="1">OFFSET('Préstamos CP'!$D$48,'Datos generales'!F1,0,1,1)</f>
        <v>0</v>
      </c>
      <c r="G276" s="302">
        <f ca="1">OFFSET('Préstamos CP'!$D$48,'Datos generales'!G1,0,1,1)</f>
        <v>0</v>
      </c>
      <c r="H276" s="302">
        <f ca="1">OFFSET('Préstamos CP'!$D$48,'Datos generales'!H1,0,1,1)</f>
        <v>0</v>
      </c>
      <c r="I276" s="302">
        <f ca="1">OFFSET('Préstamos CP'!$D$48,'Datos generales'!I1,0,1,1)</f>
        <v>0</v>
      </c>
      <c r="J276" s="302">
        <f ca="1">OFFSET('Préstamos CP'!$D$48,'Datos generales'!J1,0,1,1)</f>
        <v>0</v>
      </c>
      <c r="K276" s="302">
        <f ca="1">OFFSET('Préstamos CP'!$D$48,'Datos generales'!K1,0,1,1)</f>
        <v>0</v>
      </c>
      <c r="L276" s="302">
        <f ca="1">OFFSET('Préstamos CP'!$D$48,'Datos generales'!L1,0,1,1)</f>
        <v>0</v>
      </c>
      <c r="M276" s="302">
        <f ca="1">OFFSET('Préstamos CP'!$D$48,'Datos generales'!M1,0,1,1)</f>
        <v>0</v>
      </c>
      <c r="N276" s="302">
        <f ca="1">OFFSET('Préstamos CP'!$D$48,'Datos generales'!N1,0,1,1)</f>
        <v>0</v>
      </c>
      <c r="O276" s="302">
        <f ca="1">OFFSET('Préstamos CP'!$D$48,'Datos generales'!O1,0,1,1)</f>
        <v>0</v>
      </c>
      <c r="P276" s="637"/>
      <c r="Q276" s="1193">
        <f ca="1">SUM(D276:P276)</f>
        <v>0</v>
      </c>
      <c r="S276" s="58"/>
    </row>
    <row r="277" spans="2:21" x14ac:dyDescent="0.2">
      <c r="B277" s="296"/>
      <c r="C277" s="156" t="str">
        <f>C121</f>
        <v>Arrendamientos Financieros</v>
      </c>
      <c r="D277" s="289">
        <f ca="1">OFFSET('Préstamos LP'!$V$59,'Datos generales'!D1,0,1,1)</f>
        <v>0</v>
      </c>
      <c r="E277" s="289">
        <f ca="1">OFFSET('Préstamos LP'!$V$59,'Datos generales'!E1,0,1,1)</f>
        <v>0</v>
      </c>
      <c r="F277" s="289">
        <f ca="1">OFFSET('Préstamos LP'!$V$59,'Datos generales'!F1,0,1,1)</f>
        <v>0</v>
      </c>
      <c r="G277" s="289">
        <f ca="1">OFFSET('Préstamos LP'!$V$59,'Datos generales'!G1,0,1,1)</f>
        <v>0</v>
      </c>
      <c r="H277" s="289">
        <f ca="1">OFFSET('Préstamos LP'!$V$59,'Datos generales'!H1,0,1,1)</f>
        <v>0</v>
      </c>
      <c r="I277" s="289">
        <f ca="1">OFFSET('Préstamos LP'!$V$59,'Datos generales'!I1,0,1,1)</f>
        <v>0</v>
      </c>
      <c r="J277" s="289">
        <f ca="1">OFFSET('Préstamos LP'!$V$59,'Datos generales'!J1,0,1,1)</f>
        <v>0</v>
      </c>
      <c r="K277" s="289">
        <f ca="1">OFFSET('Préstamos LP'!$V$59,'Datos generales'!K1,0,1,1)</f>
        <v>0</v>
      </c>
      <c r="L277" s="289">
        <f ca="1">OFFSET('Préstamos LP'!$V$59,'Datos generales'!L1,0,1,1)</f>
        <v>0</v>
      </c>
      <c r="M277" s="289">
        <f ca="1">OFFSET('Préstamos LP'!$V$59,'Datos generales'!M1,0,1,1)</f>
        <v>0</v>
      </c>
      <c r="N277" s="289">
        <f ca="1">OFFSET('Préstamos LP'!$V$59,'Datos generales'!N1,0,1,1)</f>
        <v>0</v>
      </c>
      <c r="O277" s="289">
        <f ca="1">OFFSET('Préstamos LP'!$V$59,'Datos generales'!O1,0,1,1)</f>
        <v>0</v>
      </c>
      <c r="P277" s="637"/>
      <c r="Q277" s="1193">
        <f ca="1">SUM(D277:P277)</f>
        <v>0</v>
      </c>
      <c r="S277" s="58"/>
    </row>
    <row r="278" spans="2:21" x14ac:dyDescent="0.2">
      <c r="B278" s="296"/>
      <c r="C278" s="156">
        <f>C122</f>
        <v>0</v>
      </c>
      <c r="D278" s="905">
        <f>D200+D200*'Previsión de Gastos'!$Q29</f>
        <v>0</v>
      </c>
      <c r="E278" s="289">
        <f>E200+E200*'Previsión de Gastos'!$Q29</f>
        <v>0</v>
      </c>
      <c r="F278" s="289">
        <f>F200+F200*'Previsión de Gastos'!$Q29</f>
        <v>0</v>
      </c>
      <c r="G278" s="289">
        <f>G200+G200*'Previsión de Gastos'!$Q29</f>
        <v>0</v>
      </c>
      <c r="H278" s="289">
        <f>H200+H200*'Previsión de Gastos'!$Q29</f>
        <v>0</v>
      </c>
      <c r="I278" s="289">
        <f>I200+I200*'Previsión de Gastos'!$Q29</f>
        <v>0</v>
      </c>
      <c r="J278" s="289">
        <f>J200+J200*'Previsión de Gastos'!$Q29</f>
        <v>0</v>
      </c>
      <c r="K278" s="289">
        <f>K200+K200*'Previsión de Gastos'!$Q29</f>
        <v>0</v>
      </c>
      <c r="L278" s="289">
        <f>L200+L200*'Previsión de Gastos'!$Q29</f>
        <v>0</v>
      </c>
      <c r="M278" s="289">
        <f>M200+M200*'Previsión de Gastos'!$Q29</f>
        <v>0</v>
      </c>
      <c r="N278" s="289">
        <f>N200+N200*'Previsión de Gastos'!$Q29</f>
        <v>0</v>
      </c>
      <c r="O278" s="289">
        <f>O200+O200*'Previsión de Gastos'!$Q29</f>
        <v>0</v>
      </c>
      <c r="P278" s="637"/>
      <c r="Q278" s="39">
        <f>SUM(D278:P278)</f>
        <v>0</v>
      </c>
      <c r="S278" s="58"/>
    </row>
    <row r="279" spans="2:21" x14ac:dyDescent="0.2">
      <c r="B279" s="859" t="str">
        <f>B123</f>
        <v>Total Gastos financieros</v>
      </c>
      <c r="C279" s="476"/>
      <c r="D279" s="909">
        <f t="shared" ref="D279:P279" ca="1" si="53">SUM(D274:D278)</f>
        <v>0</v>
      </c>
      <c r="E279" s="865">
        <f t="shared" ca="1" si="53"/>
        <v>0</v>
      </c>
      <c r="F279" s="865">
        <f t="shared" ca="1" si="53"/>
        <v>0</v>
      </c>
      <c r="G279" s="865">
        <f t="shared" ca="1" si="53"/>
        <v>0</v>
      </c>
      <c r="H279" s="865">
        <f t="shared" ca="1" si="53"/>
        <v>0</v>
      </c>
      <c r="I279" s="865">
        <f t="shared" ca="1" si="53"/>
        <v>0</v>
      </c>
      <c r="J279" s="865">
        <f t="shared" ca="1" si="53"/>
        <v>0</v>
      </c>
      <c r="K279" s="865">
        <f t="shared" ca="1" si="53"/>
        <v>0</v>
      </c>
      <c r="L279" s="865">
        <f t="shared" ca="1" si="53"/>
        <v>0</v>
      </c>
      <c r="M279" s="865">
        <f t="shared" ca="1" si="53"/>
        <v>0</v>
      </c>
      <c r="N279" s="865">
        <f t="shared" ca="1" si="53"/>
        <v>0</v>
      </c>
      <c r="O279" s="865">
        <f t="shared" ca="1" si="53"/>
        <v>0</v>
      </c>
      <c r="P279" s="646">
        <f t="shared" si="53"/>
        <v>0</v>
      </c>
      <c r="Q279" s="878">
        <f ca="1">SUM(Q274:Q278)</f>
        <v>0</v>
      </c>
      <c r="R279" s="624"/>
      <c r="S279" s="624"/>
      <c r="T279" s="624"/>
      <c r="U279" s="624"/>
    </row>
    <row r="280" spans="2:21" x14ac:dyDescent="0.2">
      <c r="B280" s="210"/>
      <c r="C280" s="1"/>
      <c r="D280" s="893"/>
      <c r="E280" s="626"/>
      <c r="F280" s="626"/>
      <c r="G280" s="626"/>
      <c r="H280" s="626"/>
      <c r="I280" s="626"/>
      <c r="J280" s="626"/>
      <c r="K280" s="626"/>
      <c r="L280" s="626"/>
      <c r="M280" s="626"/>
      <c r="N280" s="626"/>
      <c r="O280" s="626"/>
      <c r="P280" s="792"/>
      <c r="Q280" s="793"/>
      <c r="R280" s="624"/>
      <c r="S280" s="624"/>
      <c r="T280" s="624"/>
      <c r="U280" s="624"/>
    </row>
    <row r="281" spans="2:21" ht="15.75" x14ac:dyDescent="0.25">
      <c r="B281" s="861" t="str">
        <f>B125</f>
        <v>RESULTADO FINANCIERO</v>
      </c>
      <c r="C281" s="872"/>
      <c r="D281" s="910">
        <f t="shared" ref="D281:P281" ca="1" si="54">+D272-D279</f>
        <v>0</v>
      </c>
      <c r="E281" s="869">
        <f t="shared" ca="1" si="54"/>
        <v>0</v>
      </c>
      <c r="F281" s="869">
        <f t="shared" ca="1" si="54"/>
        <v>0</v>
      </c>
      <c r="G281" s="869">
        <f t="shared" ca="1" si="54"/>
        <v>0</v>
      </c>
      <c r="H281" s="869">
        <f t="shared" ca="1" si="54"/>
        <v>0</v>
      </c>
      <c r="I281" s="869">
        <f t="shared" ca="1" si="54"/>
        <v>0</v>
      </c>
      <c r="J281" s="869">
        <f t="shared" ca="1" si="54"/>
        <v>0</v>
      </c>
      <c r="K281" s="869">
        <f t="shared" ca="1" si="54"/>
        <v>0</v>
      </c>
      <c r="L281" s="869">
        <f t="shared" ca="1" si="54"/>
        <v>0</v>
      </c>
      <c r="M281" s="869">
        <f t="shared" ca="1" si="54"/>
        <v>0</v>
      </c>
      <c r="N281" s="869">
        <f t="shared" ca="1" si="54"/>
        <v>0</v>
      </c>
      <c r="O281" s="869">
        <f t="shared" ca="1" si="54"/>
        <v>0</v>
      </c>
      <c r="P281" s="870">
        <f t="shared" si="54"/>
        <v>0</v>
      </c>
      <c r="Q281" s="1043">
        <f ca="1">SUM(D281:P281)</f>
        <v>0</v>
      </c>
      <c r="R281" s="624"/>
      <c r="S281" s="624"/>
      <c r="T281" s="624"/>
      <c r="U281" s="624"/>
    </row>
    <row r="282" spans="2:21" ht="15.75" x14ac:dyDescent="0.25">
      <c r="B282" s="562"/>
      <c r="C282" s="1"/>
      <c r="D282" s="893"/>
      <c r="E282" s="626"/>
      <c r="F282" s="626"/>
      <c r="G282" s="626"/>
      <c r="H282" s="626"/>
      <c r="I282" s="626"/>
      <c r="J282" s="626"/>
      <c r="K282" s="626"/>
      <c r="L282" s="626"/>
      <c r="M282" s="626"/>
      <c r="N282" s="626"/>
      <c r="O282" s="626"/>
      <c r="P282" s="781"/>
      <c r="Q282" s="793"/>
      <c r="R282" s="624"/>
      <c r="S282" s="624"/>
      <c r="T282" s="624"/>
      <c r="U282" s="624"/>
    </row>
    <row r="283" spans="2:21" ht="16.5" thickBot="1" x14ac:dyDescent="0.3">
      <c r="B283" s="643" t="str">
        <f>B127</f>
        <v>RESULTADO ANTES DE IMPUESTOS</v>
      </c>
      <c r="C283" s="644"/>
      <c r="D283" s="1026">
        <f t="shared" ref="D283:P283" ca="1" si="55">+D268+D281</f>
        <v>0</v>
      </c>
      <c r="E283" s="1027">
        <f t="shared" ca="1" si="55"/>
        <v>0</v>
      </c>
      <c r="F283" s="1027">
        <f t="shared" ca="1" si="55"/>
        <v>0</v>
      </c>
      <c r="G283" s="1027">
        <f t="shared" ca="1" si="55"/>
        <v>0</v>
      </c>
      <c r="H283" s="1027">
        <f t="shared" ca="1" si="55"/>
        <v>0</v>
      </c>
      <c r="I283" s="1027">
        <f t="shared" ca="1" si="55"/>
        <v>0</v>
      </c>
      <c r="J283" s="1027">
        <f t="shared" ca="1" si="55"/>
        <v>0</v>
      </c>
      <c r="K283" s="1027">
        <f t="shared" ca="1" si="55"/>
        <v>0</v>
      </c>
      <c r="L283" s="1027">
        <f t="shared" ca="1" si="55"/>
        <v>0</v>
      </c>
      <c r="M283" s="1028">
        <f t="shared" ca="1" si="55"/>
        <v>0</v>
      </c>
      <c r="N283" s="1027">
        <f t="shared" ca="1" si="55"/>
        <v>0</v>
      </c>
      <c r="O283" s="1027">
        <f t="shared" ca="1" si="55"/>
        <v>0</v>
      </c>
      <c r="P283" s="1029">
        <f t="shared" si="55"/>
        <v>0</v>
      </c>
      <c r="Q283" s="1030">
        <f ca="1">+Q268+Q281</f>
        <v>0</v>
      </c>
      <c r="R283" s="624"/>
      <c r="S283" s="759"/>
      <c r="T283" s="624"/>
      <c r="U283" s="624"/>
    </row>
    <row r="284" spans="2:21" ht="13.5" thickTop="1" x14ac:dyDescent="0.2">
      <c r="C284" s="307" t="str">
        <f>IF('Datos generales'!$D$22&lt;=0, "(*)   En empresas que no repercuten IVA. El importe de Compras aparece incrementado en este impuesto ","")</f>
        <v/>
      </c>
      <c r="D284" s="901"/>
      <c r="E284" s="624"/>
      <c r="F284" s="624"/>
      <c r="G284" s="624"/>
      <c r="H284" s="624"/>
      <c r="I284" s="624"/>
      <c r="J284" s="624"/>
      <c r="K284" s="624"/>
      <c r="L284" s="624"/>
      <c r="M284" s="624"/>
      <c r="N284" s="624"/>
      <c r="O284" s="624"/>
      <c r="P284" s="624"/>
      <c r="Q284" s="624"/>
      <c r="R284" s="624"/>
      <c r="S284" s="58"/>
      <c r="T284" s="624"/>
      <c r="U284" s="624"/>
    </row>
    <row r="285" spans="2:21" x14ac:dyDescent="0.2">
      <c r="D285" s="917"/>
      <c r="E285" s="58"/>
      <c r="F285" s="58"/>
      <c r="G285" s="58"/>
      <c r="H285" s="58"/>
      <c r="I285" s="58"/>
      <c r="J285" s="58"/>
      <c r="K285" s="58"/>
      <c r="L285" s="58"/>
      <c r="M285" s="58"/>
      <c r="N285" s="58"/>
      <c r="O285" s="58"/>
      <c r="P285" s="58"/>
      <c r="Q285" s="58"/>
    </row>
    <row r="286" spans="2:21" x14ac:dyDescent="0.2">
      <c r="D286" s="917"/>
      <c r="E286" s="58"/>
      <c r="F286" s="58"/>
      <c r="G286" s="58"/>
      <c r="H286" s="58"/>
      <c r="I286" s="58"/>
      <c r="J286" s="58"/>
      <c r="K286" s="58"/>
      <c r="L286" s="58"/>
      <c r="M286" s="58"/>
      <c r="N286" s="58"/>
      <c r="O286" s="58"/>
      <c r="P286" s="58"/>
      <c r="Q286" s="58"/>
      <c r="S286" s="58"/>
    </row>
    <row r="287" spans="2:21" x14ac:dyDescent="0.2">
      <c r="D287" s="917"/>
      <c r="E287" s="58"/>
      <c r="F287" s="58"/>
      <c r="G287" s="58"/>
      <c r="H287" s="58"/>
      <c r="I287" s="58"/>
      <c r="J287" s="58"/>
      <c r="K287" s="58"/>
      <c r="L287" s="58"/>
      <c r="M287" s="58"/>
      <c r="N287" s="58"/>
      <c r="O287" s="58"/>
      <c r="P287" s="58"/>
      <c r="Q287" s="58"/>
      <c r="S287" s="58"/>
    </row>
    <row r="288" spans="2:21" x14ac:dyDescent="0.2">
      <c r="D288" s="917"/>
      <c r="E288" s="58"/>
      <c r="F288" s="58"/>
      <c r="G288" s="58"/>
      <c r="H288" s="58"/>
      <c r="I288" s="58"/>
      <c r="J288" s="58"/>
      <c r="K288" s="58"/>
      <c r="L288" s="58"/>
      <c r="M288" s="58"/>
      <c r="N288" s="58"/>
      <c r="O288" s="58"/>
      <c r="P288" s="58"/>
      <c r="Q288" s="58"/>
      <c r="S288" s="58"/>
    </row>
    <row r="289" spans="4:19" x14ac:dyDescent="0.2">
      <c r="D289" s="917"/>
      <c r="E289" s="58"/>
      <c r="F289" s="58"/>
      <c r="G289" s="58"/>
      <c r="H289" s="58"/>
      <c r="I289" s="58"/>
      <c r="J289" s="58"/>
      <c r="K289" s="58"/>
      <c r="L289" s="58"/>
      <c r="M289" s="58"/>
      <c r="N289" s="58"/>
      <c r="O289" s="58"/>
      <c r="P289" s="58"/>
      <c r="Q289" s="58"/>
      <c r="S289" s="58"/>
    </row>
    <row r="290" spans="4:19" x14ac:dyDescent="0.2">
      <c r="D290" s="917"/>
      <c r="E290" s="58"/>
      <c r="F290" s="58"/>
      <c r="G290" s="58"/>
      <c r="H290" s="58"/>
      <c r="I290" s="58"/>
      <c r="J290" s="58"/>
      <c r="K290" s="58"/>
      <c r="L290" s="58"/>
      <c r="M290" s="58"/>
      <c r="N290" s="58"/>
      <c r="O290" s="58"/>
      <c r="P290" s="58"/>
      <c r="Q290" s="58"/>
      <c r="S290" s="58"/>
    </row>
    <row r="291" spans="4:19" x14ac:dyDescent="0.2">
      <c r="S291" s="58"/>
    </row>
    <row r="292" spans="4:19" x14ac:dyDescent="0.2">
      <c r="S292" s="58"/>
    </row>
    <row r="293" spans="4:19" x14ac:dyDescent="0.2">
      <c r="S293" s="58"/>
    </row>
    <row r="294" spans="4:19" x14ac:dyDescent="0.2">
      <c r="S294" s="58"/>
    </row>
    <row r="295" spans="4:19" x14ac:dyDescent="0.2">
      <c r="S295" s="58"/>
    </row>
    <row r="296" spans="4:19" x14ac:dyDescent="0.2">
      <c r="S296" s="58"/>
    </row>
    <row r="297" spans="4:19" x14ac:dyDescent="0.2">
      <c r="S297" s="58"/>
    </row>
    <row r="298" spans="4:19" x14ac:dyDescent="0.2">
      <c r="S298" s="58"/>
    </row>
    <row r="299" spans="4:19" x14ac:dyDescent="0.2">
      <c r="S299" s="58"/>
    </row>
    <row r="300" spans="4:19" x14ac:dyDescent="0.2">
      <c r="S300" s="58"/>
    </row>
    <row r="301" spans="4:19" x14ac:dyDescent="0.2">
      <c r="S301" s="58"/>
    </row>
    <row r="302" spans="4:19" x14ac:dyDescent="0.2">
      <c r="S302" s="58"/>
    </row>
    <row r="303" spans="4:19" x14ac:dyDescent="0.2">
      <c r="S303" s="58"/>
    </row>
    <row r="304" spans="4:19" x14ac:dyDescent="0.2">
      <c r="S304" s="58"/>
    </row>
    <row r="305" spans="19:19" x14ac:dyDescent="0.2">
      <c r="S305" s="58"/>
    </row>
    <row r="306" spans="19:19" x14ac:dyDescent="0.2">
      <c r="S306" s="58"/>
    </row>
    <row r="307" spans="19:19" x14ac:dyDescent="0.2">
      <c r="S307" s="58"/>
    </row>
    <row r="308" spans="19:19" x14ac:dyDescent="0.2">
      <c r="S308" s="58"/>
    </row>
    <row r="309" spans="19:19" x14ac:dyDescent="0.2">
      <c r="S309" s="58"/>
    </row>
  </sheetData>
  <sheetProtection password="CC4B" sheet="1" objects="1" scenarios="1"/>
  <mergeCells count="12">
    <mergeCell ref="B266:C266"/>
    <mergeCell ref="B7:G7"/>
    <mergeCell ref="B210:C210"/>
    <mergeCell ref="B13:C13"/>
    <mergeCell ref="B52:C52"/>
    <mergeCell ref="B132:C132"/>
    <mergeCell ref="B212:C212"/>
    <mergeCell ref="C4:F4"/>
    <mergeCell ref="B54:C54"/>
    <mergeCell ref="B134:C134"/>
    <mergeCell ref="B110:C110"/>
    <mergeCell ref="B188:C188"/>
  </mergeCells>
  <phoneticPr fontId="0" type="noConversion"/>
  <printOptions horizontalCentered="1" verticalCentered="1"/>
  <pageMargins left="0.75" right="0.75" top="1" bottom="1" header="0" footer="0"/>
  <pageSetup paperSize="9" scale="61" orientation="landscape" horizontalDpi="300" verticalDpi="300" r:id="rId1"/>
  <headerFooter alignWithMargins="0"/>
  <rowBreaks count="2" manualBreakCount="2">
    <brk id="129" max="17" man="1"/>
    <brk id="207" max="17"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3">
    <tabColor theme="4" tint="0.39997558519241921"/>
    <pageSetUpPr fitToPage="1"/>
  </sheetPr>
  <dimension ref="A1:V154"/>
  <sheetViews>
    <sheetView showGridLines="0" topLeftCell="A53" zoomScaleNormal="100" workbookViewId="0">
      <selection activeCell="I78" sqref="I78"/>
    </sheetView>
  </sheetViews>
  <sheetFormatPr baseColWidth="10" defaultColWidth="11.42578125" defaultRowHeight="12.75" x14ac:dyDescent="0.2"/>
  <cols>
    <col min="1" max="1" width="11.42578125" style="41"/>
    <col min="2" max="2" width="43.7109375" style="41" customWidth="1"/>
    <col min="3" max="3" width="13.7109375" style="42" customWidth="1"/>
    <col min="4" max="16" width="13.7109375" style="41" customWidth="1"/>
    <col min="17" max="17" width="12.85546875" style="41" customWidth="1"/>
    <col min="18" max="18" width="14.85546875" style="41" customWidth="1"/>
    <col min="19" max="19" width="11.42578125" style="41"/>
    <col min="20" max="20" width="11.42578125" style="42"/>
    <col min="21" max="16384" width="11.42578125" style="41"/>
  </cols>
  <sheetData>
    <row r="1" spans="1:20" s="497" customFormat="1" hidden="1" x14ac:dyDescent="0.2">
      <c r="C1" s="498">
        <f>MONTH('Datos generales'!N10)</f>
        <v>1</v>
      </c>
      <c r="D1" s="291">
        <v>0</v>
      </c>
      <c r="E1" s="291">
        <v>1</v>
      </c>
      <c r="F1" s="291">
        <v>2</v>
      </c>
      <c r="G1" s="291">
        <v>3</v>
      </c>
      <c r="H1" s="291">
        <v>4</v>
      </c>
      <c r="I1" s="291">
        <v>5</v>
      </c>
      <c r="J1" s="291">
        <v>6</v>
      </c>
      <c r="K1" s="291">
        <v>7</v>
      </c>
      <c r="L1" s="291">
        <v>8</v>
      </c>
      <c r="M1" s="291">
        <v>9</v>
      </c>
      <c r="N1" s="291">
        <v>10</v>
      </c>
      <c r="O1" s="291">
        <v>11</v>
      </c>
      <c r="P1" s="291">
        <v>12</v>
      </c>
      <c r="T1" s="498"/>
    </row>
    <row r="2" spans="1:20" x14ac:dyDescent="0.2">
      <c r="D2" s="9"/>
      <c r="E2" s="9"/>
      <c r="F2" s="9"/>
      <c r="G2" s="9"/>
      <c r="H2" s="9"/>
      <c r="I2" s="9"/>
      <c r="J2" s="9"/>
      <c r="K2" s="9"/>
      <c r="L2" s="9"/>
      <c r="M2" s="9"/>
      <c r="N2" s="9"/>
      <c r="O2" s="9"/>
    </row>
    <row r="4" spans="1:20" ht="20.25" x14ac:dyDescent="0.3">
      <c r="A4"/>
      <c r="B4" s="1360" t="str">
        <f>'Datos generales'!C6</f>
        <v>Nombre de la empresa</v>
      </c>
      <c r="C4" s="1360"/>
      <c r="D4" s="1360"/>
      <c r="E4" s="1360"/>
      <c r="F4" s="1360"/>
      <c r="G4" s="1360"/>
      <c r="H4" s="9"/>
      <c r="I4" s="9"/>
      <c r="J4" s="9"/>
    </row>
    <row r="5" spans="1:20" x14ac:dyDescent="0.2">
      <c r="A5"/>
      <c r="B5"/>
      <c r="C5"/>
      <c r="D5"/>
      <c r="E5"/>
      <c r="F5"/>
      <c r="G5"/>
      <c r="H5"/>
      <c r="I5" s="9"/>
      <c r="J5" s="9"/>
      <c r="K5" s="9"/>
      <c r="L5" s="9"/>
      <c r="M5" s="9"/>
      <c r="N5" s="9"/>
      <c r="O5" s="9"/>
    </row>
    <row r="6" spans="1:20" ht="23.25" x14ac:dyDescent="0.35">
      <c r="B6" s="138" t="s">
        <v>431</v>
      </c>
      <c r="C6" s="103"/>
      <c r="E6" s="28"/>
      <c r="H6" s="74"/>
      <c r="I6" s="75"/>
    </row>
    <row r="7" spans="1:20" ht="8.25" customHeight="1" x14ac:dyDescent="0.35">
      <c r="B7" s="73"/>
      <c r="C7" s="41"/>
      <c r="G7" s="1248"/>
      <c r="H7" s="1248"/>
      <c r="I7" s="1248"/>
      <c r="J7" s="1248"/>
      <c r="K7" s="77"/>
      <c r="L7" s="76"/>
    </row>
    <row r="8" spans="1:20" ht="24" customHeight="1" x14ac:dyDescent="0.2">
      <c r="B8" s="349" t="s">
        <v>170</v>
      </c>
      <c r="C8" s="349" t="s">
        <v>412</v>
      </c>
      <c r="D8" s="349" t="s">
        <v>432</v>
      </c>
      <c r="E8" s="349" t="s">
        <v>96</v>
      </c>
      <c r="F8" s="349" t="s">
        <v>433</v>
      </c>
    </row>
    <row r="9" spans="1:20" s="1" customFormat="1" x14ac:dyDescent="0.2">
      <c r="B9" s="347" t="s">
        <v>434</v>
      </c>
      <c r="C9" s="646"/>
      <c r="D9" s="646">
        <f t="shared" ref="D9:D18" si="0">P46</f>
        <v>0</v>
      </c>
      <c r="E9" s="623">
        <f t="shared" ref="E9:E18" ca="1" si="1">P82</f>
        <v>0</v>
      </c>
      <c r="F9" s="646">
        <f t="shared" ref="F9:F18" ca="1" si="2">P118</f>
        <v>0</v>
      </c>
      <c r="T9" s="61"/>
    </row>
    <row r="10" spans="1:20" x14ac:dyDescent="0.2">
      <c r="B10" s="346" t="s">
        <v>435</v>
      </c>
      <c r="C10" s="744">
        <f>'PRESUPUESTO INICIAL INVER_FINAN'!F98-'PRESUPUESTO INICIAL INVER_FINAN'!F94</f>
        <v>0</v>
      </c>
      <c r="D10" s="744">
        <f t="shared" si="0"/>
        <v>0</v>
      </c>
      <c r="E10" s="670">
        <f t="shared" si="1"/>
        <v>0</v>
      </c>
      <c r="F10" s="744">
        <f t="shared" si="2"/>
        <v>0</v>
      </c>
    </row>
    <row r="11" spans="1:20" x14ac:dyDescent="0.2">
      <c r="B11" s="346" t="s">
        <v>436</v>
      </c>
      <c r="C11" s="744"/>
      <c r="D11" s="744">
        <f t="shared" ca="1" si="0"/>
        <v>0</v>
      </c>
      <c r="E11" s="670">
        <f t="shared" ca="1" si="1"/>
        <v>0</v>
      </c>
      <c r="F11" s="744">
        <f t="shared" ca="1" si="2"/>
        <v>0</v>
      </c>
    </row>
    <row r="12" spans="1:20" x14ac:dyDescent="0.2">
      <c r="B12" s="346" t="s">
        <v>437</v>
      </c>
      <c r="C12" s="744">
        <f>'PRESUPUESTO INICIAL INVER_FINAN'!F106-'PRESUPUESTO INICIAL INVER_FINAN'!F103</f>
        <v>0</v>
      </c>
      <c r="D12" s="744">
        <f t="shared" ca="1" si="0"/>
        <v>0</v>
      </c>
      <c r="E12" s="670">
        <f t="shared" ca="1" si="1"/>
        <v>0</v>
      </c>
      <c r="F12" s="744">
        <f t="shared" ca="1" si="2"/>
        <v>0</v>
      </c>
    </row>
    <row r="13" spans="1:20" x14ac:dyDescent="0.2">
      <c r="B13" s="346" t="s">
        <v>438</v>
      </c>
      <c r="C13" s="744">
        <f>'PRESUPUESTO INICIAL INVER_FINAN'!F112-'PRESUPUESTO INICIAL INVER_FINAN'!F109</f>
        <v>0</v>
      </c>
      <c r="D13" s="744">
        <f t="shared" ca="1" si="0"/>
        <v>0</v>
      </c>
      <c r="E13" s="670">
        <f t="shared" ca="1" si="1"/>
        <v>0</v>
      </c>
      <c r="F13" s="744">
        <f t="shared" ca="1" si="2"/>
        <v>0</v>
      </c>
    </row>
    <row r="14" spans="1:20" x14ac:dyDescent="0.2">
      <c r="B14" s="355" t="s">
        <v>335</v>
      </c>
      <c r="C14" s="745"/>
      <c r="D14" s="745">
        <f t="shared" si="0"/>
        <v>0</v>
      </c>
      <c r="E14" s="746">
        <f t="shared" si="1"/>
        <v>0</v>
      </c>
      <c r="F14" s="745">
        <f t="shared" si="2"/>
        <v>0</v>
      </c>
    </row>
    <row r="15" spans="1:20" s="1" customFormat="1" ht="15.75" x14ac:dyDescent="0.25">
      <c r="B15" s="981" t="s">
        <v>439</v>
      </c>
      <c r="C15" s="747">
        <f>SUM(C10:C14)</f>
        <v>0</v>
      </c>
      <c r="D15" s="748">
        <f t="shared" ca="1" si="0"/>
        <v>0</v>
      </c>
      <c r="E15" s="674">
        <f t="shared" ca="1" si="1"/>
        <v>0</v>
      </c>
      <c r="F15" s="748">
        <f t="shared" ca="1" si="2"/>
        <v>0</v>
      </c>
      <c r="Q15" s="41"/>
      <c r="T15" s="61"/>
    </row>
    <row r="16" spans="1:20" ht="20.25" customHeight="1" x14ac:dyDescent="0.2">
      <c r="B16" s="354" t="s">
        <v>440</v>
      </c>
      <c r="C16" s="749">
        <f>'PRESUPUESTO INICIAL INVER_FINAN'!O90-'PRESUPUESTO INICIAL INVER_FINAN'!O80-'Entrada Inver_Finan'!G93</f>
        <v>0</v>
      </c>
      <c r="D16" s="749">
        <f t="shared" ca="1" si="0"/>
        <v>0</v>
      </c>
      <c r="E16" s="750">
        <f t="shared" ca="1" si="1"/>
        <v>0</v>
      </c>
      <c r="F16" s="749">
        <f t="shared" ca="1" si="2"/>
        <v>0</v>
      </c>
    </row>
    <row r="17" spans="2:21" ht="25.5" x14ac:dyDescent="0.2">
      <c r="B17" s="993" t="s">
        <v>441</v>
      </c>
      <c r="C17" s="744"/>
      <c r="D17" s="744">
        <f t="shared" si="0"/>
        <v>0</v>
      </c>
      <c r="E17" s="670">
        <f t="shared" si="1"/>
        <v>0</v>
      </c>
      <c r="F17" s="744">
        <f t="shared" si="2"/>
        <v>0</v>
      </c>
    </row>
    <row r="18" spans="2:21" ht="25.5" x14ac:dyDescent="0.2">
      <c r="B18" s="993" t="s">
        <v>442</v>
      </c>
      <c r="C18" s="744"/>
      <c r="D18" s="744">
        <f t="shared" si="0"/>
        <v>0</v>
      </c>
      <c r="E18" s="670">
        <f t="shared" si="1"/>
        <v>0</v>
      </c>
      <c r="F18" s="744">
        <f t="shared" si="2"/>
        <v>0</v>
      </c>
    </row>
    <row r="19" spans="2:21" x14ac:dyDescent="0.2">
      <c r="B19" s="346" t="str">
        <f>'Previsión de Gastos'!B19</f>
        <v>Total Gastos de personal</v>
      </c>
      <c r="C19" s="744">
        <f>'Entrada Inver_Finan'!D67</f>
        <v>0</v>
      </c>
      <c r="D19" s="744">
        <f t="shared" ref="D19:D28" si="3">P56</f>
        <v>0</v>
      </c>
      <c r="E19" s="670">
        <f t="shared" ref="E19:E24" si="4">P92</f>
        <v>0</v>
      </c>
      <c r="F19" s="744">
        <f t="shared" ref="F19:F24" si="5">P128</f>
        <v>0</v>
      </c>
    </row>
    <row r="20" spans="2:21" x14ac:dyDescent="0.2">
      <c r="B20" s="346" t="str">
        <f>'Previsión de Gastos'!B30</f>
        <v>Total Gastos financieros</v>
      </c>
      <c r="C20" s="744">
        <f>'Préstamos LP'!$D$34</f>
        <v>0</v>
      </c>
      <c r="D20" s="744">
        <f t="shared" ca="1" si="3"/>
        <v>0</v>
      </c>
      <c r="E20" s="670">
        <f t="shared" ca="1" si="4"/>
        <v>0</v>
      </c>
      <c r="F20" s="744">
        <f t="shared" ca="1" si="5"/>
        <v>0</v>
      </c>
    </row>
    <row r="21" spans="2:21" x14ac:dyDescent="0.2">
      <c r="B21" s="346" t="str">
        <f>'Previsión de Gastos'!B35</f>
        <v>Total Gastos comerciales</v>
      </c>
      <c r="C21" s="744"/>
      <c r="D21" s="744">
        <f t="shared" si="3"/>
        <v>0</v>
      </c>
      <c r="E21" s="670">
        <f t="shared" si="4"/>
        <v>0</v>
      </c>
      <c r="F21" s="744">
        <f t="shared" si="5"/>
        <v>0</v>
      </c>
    </row>
    <row r="22" spans="2:21" x14ac:dyDescent="0.2">
      <c r="B22" s="346" t="str">
        <f>'Previsión de Gastos'!B47</f>
        <v>Total Otros gastos (Servicios exteriores)</v>
      </c>
      <c r="C22" s="744">
        <f>'Entrada Inver_Finan'!D75</f>
        <v>0</v>
      </c>
      <c r="D22" s="744">
        <f t="shared" si="3"/>
        <v>0</v>
      </c>
      <c r="E22" s="670">
        <f t="shared" si="4"/>
        <v>0</v>
      </c>
      <c r="F22" s="744">
        <f t="shared" si="5"/>
        <v>0</v>
      </c>
    </row>
    <row r="23" spans="2:21" x14ac:dyDescent="0.2">
      <c r="B23" s="346" t="s">
        <v>443</v>
      </c>
      <c r="C23" s="744"/>
      <c r="D23" s="744">
        <f t="shared" ca="1" si="3"/>
        <v>0</v>
      </c>
      <c r="E23" s="670">
        <f t="shared" ca="1" si="4"/>
        <v>0</v>
      </c>
      <c r="F23" s="744">
        <f t="shared" ca="1" si="5"/>
        <v>0</v>
      </c>
    </row>
    <row r="24" spans="2:21" x14ac:dyDescent="0.2">
      <c r="B24" s="346" t="s">
        <v>444</v>
      </c>
      <c r="C24" s="744"/>
      <c r="D24" s="744">
        <f t="shared" ca="1" si="3"/>
        <v>0</v>
      </c>
      <c r="E24" s="670">
        <f t="shared" ca="1" si="4"/>
        <v>0</v>
      </c>
      <c r="F24" s="744">
        <f t="shared" ca="1" si="5"/>
        <v>0</v>
      </c>
    </row>
    <row r="25" spans="2:21" x14ac:dyDescent="0.2">
      <c r="B25" s="346" t="s">
        <v>445</v>
      </c>
      <c r="C25" s="744"/>
      <c r="D25" s="744">
        <f t="shared" ca="1" si="3"/>
        <v>0</v>
      </c>
      <c r="E25" s="670">
        <f t="shared" ref="E25:E35" ca="1" si="6">P98</f>
        <v>0</v>
      </c>
      <c r="F25" s="744">
        <f t="shared" ref="F25:F35" ca="1" si="7">P134</f>
        <v>0</v>
      </c>
    </row>
    <row r="26" spans="2:21" x14ac:dyDescent="0.2">
      <c r="B26" s="346" t="s">
        <v>446</v>
      </c>
      <c r="C26" s="744">
        <f>'PRESUPUESTO INICIAL INVER_FINAN'!F53-'PRESUPUESTO INICIAL INVER_FINAN'!F94-'PRESUPUESTO INICIAL INVER_FINAN'!F103+'Entrada Inver_Finan'!G93</f>
        <v>0</v>
      </c>
      <c r="D26" s="744">
        <f t="shared" si="3"/>
        <v>0</v>
      </c>
      <c r="E26" s="670">
        <f t="shared" si="6"/>
        <v>0</v>
      </c>
      <c r="F26" s="744">
        <f t="shared" si="7"/>
        <v>0</v>
      </c>
    </row>
    <row r="27" spans="2:21" ht="15" customHeight="1" x14ac:dyDescent="0.3">
      <c r="B27" s="346" t="s">
        <v>447</v>
      </c>
      <c r="C27" s="744">
        <f>'PRESUPUESTO INICIAL INVER_FINAN'!O86+'PRESUPUESTO INICIAL INVER_FINAN'!O87</f>
        <v>0</v>
      </c>
      <c r="D27" s="744">
        <f t="shared" ca="1" si="3"/>
        <v>0</v>
      </c>
      <c r="E27" s="670">
        <f t="shared" ca="1" si="6"/>
        <v>0</v>
      </c>
      <c r="F27" s="744">
        <f t="shared" ca="1" si="7"/>
        <v>0</v>
      </c>
      <c r="I27" s="42"/>
      <c r="S27" s="88"/>
      <c r="U27" s="107"/>
    </row>
    <row r="28" spans="2:21" x14ac:dyDescent="0.2">
      <c r="B28" s="308" t="s">
        <v>448</v>
      </c>
      <c r="C28" s="751"/>
      <c r="D28" s="751">
        <f t="shared" ca="1" si="3"/>
        <v>0</v>
      </c>
      <c r="E28" s="667">
        <f t="shared" ca="1" si="6"/>
        <v>0</v>
      </c>
      <c r="F28" s="751">
        <f t="shared" ca="1" si="7"/>
        <v>0</v>
      </c>
    </row>
    <row r="29" spans="2:21" x14ac:dyDescent="0.2">
      <c r="B29" s="308" t="s">
        <v>449</v>
      </c>
      <c r="C29" s="751"/>
      <c r="D29" s="751">
        <f t="shared" ref="D29:D35" si="8">P66</f>
        <v>0</v>
      </c>
      <c r="E29" s="667">
        <f t="shared" ca="1" si="6"/>
        <v>0</v>
      </c>
      <c r="F29" s="751">
        <f t="shared" ca="1" si="7"/>
        <v>0</v>
      </c>
    </row>
    <row r="30" spans="2:21" x14ac:dyDescent="0.2">
      <c r="B30" s="308" t="s">
        <v>450</v>
      </c>
      <c r="C30" s="751"/>
      <c r="D30" s="751">
        <f t="shared" ca="1" si="8"/>
        <v>0</v>
      </c>
      <c r="E30" s="667">
        <f t="shared" ca="1" si="6"/>
        <v>0</v>
      </c>
      <c r="F30" s="751">
        <f t="shared" ca="1" si="7"/>
        <v>0</v>
      </c>
    </row>
    <row r="31" spans="2:21" x14ac:dyDescent="0.2">
      <c r="B31" s="308" t="s">
        <v>451</v>
      </c>
      <c r="C31" s="751"/>
      <c r="D31" s="751">
        <f t="shared" ca="1" si="8"/>
        <v>0</v>
      </c>
      <c r="E31" s="667">
        <f t="shared" ca="1" si="6"/>
        <v>0</v>
      </c>
      <c r="F31" s="751">
        <f t="shared" ca="1" si="7"/>
        <v>0</v>
      </c>
    </row>
    <row r="32" spans="2:21" x14ac:dyDescent="0.2">
      <c r="B32" s="308" t="s">
        <v>452</v>
      </c>
      <c r="C32" s="751"/>
      <c r="D32" s="751">
        <f t="shared" si="8"/>
        <v>0</v>
      </c>
      <c r="E32" s="667">
        <f t="shared" ca="1" si="6"/>
        <v>0</v>
      </c>
      <c r="F32" s="751">
        <f t="shared" ca="1" si="7"/>
        <v>0</v>
      </c>
      <c r="U32" s="42"/>
    </row>
    <row r="33" spans="2:21" s="1" customFormat="1" ht="15.75" x14ac:dyDescent="0.25">
      <c r="B33" s="982" t="s">
        <v>453</v>
      </c>
      <c r="C33" s="775">
        <f>SUM(C16:C32)</f>
        <v>0</v>
      </c>
      <c r="D33" s="854">
        <f t="shared" ca="1" si="8"/>
        <v>0</v>
      </c>
      <c r="E33" s="983">
        <f t="shared" ca="1" si="6"/>
        <v>0</v>
      </c>
      <c r="F33" s="854">
        <f t="shared" ca="1" si="7"/>
        <v>0</v>
      </c>
      <c r="H33" s="61"/>
      <c r="Q33" s="41"/>
      <c r="T33" s="61"/>
    </row>
    <row r="34" spans="2:21" ht="20.25" customHeight="1" thickBot="1" x14ac:dyDescent="0.25">
      <c r="B34" s="360" t="s">
        <v>454</v>
      </c>
      <c r="C34" s="984">
        <f>+C15-C33</f>
        <v>0</v>
      </c>
      <c r="D34" s="745">
        <f t="shared" ca="1" si="8"/>
        <v>0</v>
      </c>
      <c r="E34" s="746">
        <f t="shared" ca="1" si="6"/>
        <v>0</v>
      </c>
      <c r="F34" s="745">
        <f t="shared" ca="1" si="7"/>
        <v>0</v>
      </c>
    </row>
    <row r="35" spans="2:21" s="1" customFormat="1" ht="16.5" thickBot="1" x14ac:dyDescent="0.3">
      <c r="B35" s="985" t="s">
        <v>455</v>
      </c>
      <c r="C35" s="986">
        <f>+C9+C34</f>
        <v>0</v>
      </c>
      <c r="D35" s="987">
        <f t="shared" ca="1" si="8"/>
        <v>0</v>
      </c>
      <c r="E35" s="988">
        <f t="shared" ca="1" si="6"/>
        <v>0</v>
      </c>
      <c r="F35" s="989">
        <f t="shared" ca="1" si="7"/>
        <v>0</v>
      </c>
      <c r="T35" s="61"/>
    </row>
    <row r="36" spans="2:21" ht="12.75" customHeight="1" x14ac:dyDescent="0.2">
      <c r="B36" s="510" t="s">
        <v>456</v>
      </c>
      <c r="D36" s="9"/>
    </row>
    <row r="37" spans="2:21" ht="12.75" customHeight="1" x14ac:dyDescent="0.2">
      <c r="B37" s="510" t="s">
        <v>457</v>
      </c>
      <c r="D37" s="9"/>
    </row>
    <row r="38" spans="2:21" ht="24" customHeight="1" thickBot="1" x14ac:dyDescent="0.25">
      <c r="D38" s="9"/>
    </row>
    <row r="39" spans="2:21" s="88" customFormat="1" ht="13.5" thickBot="1" x14ac:dyDescent="0.25">
      <c r="B39" s="350" t="s">
        <v>458</v>
      </c>
      <c r="C39" s="351">
        <f>'PRESUPUESTO INICIAL INVER_FINAN'!O89*-1</f>
        <v>0</v>
      </c>
      <c r="D39" s="351">
        <f ca="1">O76</f>
        <v>0</v>
      </c>
      <c r="E39" s="351">
        <f ca="1">O112</f>
        <v>0</v>
      </c>
      <c r="F39" s="357">
        <f ca="1">O148</f>
        <v>0</v>
      </c>
      <c r="T39" s="101"/>
      <c r="U39" s="101"/>
    </row>
    <row r="40" spans="2:21" s="88" customFormat="1" ht="8.25" customHeight="1" x14ac:dyDescent="0.2">
      <c r="B40" s="89"/>
      <c r="C40" s="95"/>
      <c r="D40" s="95"/>
      <c r="E40" s="95"/>
      <c r="F40" s="95"/>
      <c r="T40" s="101"/>
      <c r="U40" s="101"/>
    </row>
    <row r="41" spans="2:21" ht="7.5" customHeight="1" x14ac:dyDescent="0.2"/>
    <row r="42" spans="2:21" x14ac:dyDescent="0.2">
      <c r="M42" s="78"/>
    </row>
    <row r="44" spans="2:21" ht="15.75" x14ac:dyDescent="0.25">
      <c r="B44" s="138" t="s">
        <v>459</v>
      </c>
      <c r="C44" s="41"/>
      <c r="F44" s="59"/>
    </row>
    <row r="45" spans="2:21" x14ac:dyDescent="0.2">
      <c r="B45" s="84" t="s">
        <v>170</v>
      </c>
      <c r="C45" s="753" t="s">
        <v>296</v>
      </c>
      <c r="D45" s="753" t="s">
        <v>297</v>
      </c>
      <c r="E45" s="753" t="s">
        <v>298</v>
      </c>
      <c r="F45" s="753" t="s">
        <v>120</v>
      </c>
      <c r="G45" s="753" t="s">
        <v>121</v>
      </c>
      <c r="H45" s="753" t="s">
        <v>122</v>
      </c>
      <c r="I45" s="753" t="s">
        <v>123</v>
      </c>
      <c r="J45" s="753" t="s">
        <v>299</v>
      </c>
      <c r="K45" s="753" t="s">
        <v>300</v>
      </c>
      <c r="L45" s="753" t="s">
        <v>301</v>
      </c>
      <c r="M45" s="753" t="s">
        <v>302</v>
      </c>
      <c r="N45" s="753" t="s">
        <v>303</v>
      </c>
      <c r="O45" s="754" t="s">
        <v>460</v>
      </c>
      <c r="P45" s="755" t="s">
        <v>129</v>
      </c>
      <c r="Q45" s="625"/>
    </row>
    <row r="46" spans="2:21" s="75" customFormat="1" ht="15.75" x14ac:dyDescent="0.25">
      <c r="B46" s="358" t="s">
        <v>434</v>
      </c>
      <c r="C46" s="756">
        <f>IF('Datos generales'!$O$10&lt;&gt;'Datos generales'!E1,0,'PRESUPUESTO INICIAL INVER_FINAN'!$F$118)</f>
        <v>0</v>
      </c>
      <c r="D46" s="756">
        <f ca="1">IF('Datos generales'!$O$10&lt;&gt;'Datos generales'!F1,C72,'PRESUPUESTO INICIAL INVER_FINAN'!$F$118)</f>
        <v>0</v>
      </c>
      <c r="E46" s="756">
        <f ca="1">IF('Datos generales'!$O$10&lt;&gt;'Datos generales'!G1,D72,'PRESUPUESTO INICIAL INVER_FINAN'!$F$118)</f>
        <v>0</v>
      </c>
      <c r="F46" s="756">
        <f ca="1">IF('Datos generales'!$O$10&lt;&gt;'Datos generales'!H1,E72,'PRESUPUESTO INICIAL INVER_FINAN'!$F$118)</f>
        <v>0</v>
      </c>
      <c r="G46" s="756">
        <f ca="1">IF('Datos generales'!$O$10&lt;&gt;'Datos generales'!I1,F72,'PRESUPUESTO INICIAL INVER_FINAN'!$F$118)</f>
        <v>0</v>
      </c>
      <c r="H46" s="756">
        <f ca="1">IF('Datos generales'!$O$10&lt;&gt;'Datos generales'!J1,G72,'PRESUPUESTO INICIAL INVER_FINAN'!$F$118)</f>
        <v>0</v>
      </c>
      <c r="I46" s="756">
        <f ca="1">IF('Datos generales'!$O$10&lt;&gt;'Datos generales'!K1,H72,'PRESUPUESTO INICIAL INVER_FINAN'!$F$118)</f>
        <v>0</v>
      </c>
      <c r="J46" s="756">
        <f ca="1">IF('Datos generales'!$O$10&lt;&gt;'Datos generales'!L1,I72,'PRESUPUESTO INICIAL INVER_FINAN'!$F$118)</f>
        <v>0</v>
      </c>
      <c r="K46" s="756">
        <f ca="1">IF('Datos generales'!$O$10&lt;&gt;'Datos generales'!M1,J72,'PRESUPUESTO INICIAL INVER_FINAN'!$F$118)</f>
        <v>0</v>
      </c>
      <c r="L46" s="756">
        <f ca="1">IF('Datos generales'!$O$10&lt;&gt;'Datos generales'!N1,K72,'PRESUPUESTO INICIAL INVER_FINAN'!$F$118)</f>
        <v>0</v>
      </c>
      <c r="M46" s="756">
        <f ca="1">IF('Datos generales'!$O$10&lt;&gt;'Datos generales'!O1,L72,'PRESUPUESTO INICIAL INVER_FINAN'!$F$118)</f>
        <v>0</v>
      </c>
      <c r="N46" s="756">
        <f ca="1">IF('Datos generales'!$O$10&lt;&gt;'Datos generales'!P1,M72,'PRESUPUESTO INICIAL INVER_FINAN'!$F$118)</f>
        <v>0</v>
      </c>
      <c r="O46" s="757">
        <f ca="1">+N72</f>
        <v>0</v>
      </c>
      <c r="P46" s="758">
        <f>C35</f>
        <v>0</v>
      </c>
      <c r="Q46" s="759"/>
      <c r="T46" s="85"/>
    </row>
    <row r="47" spans="2:21" x14ac:dyDescent="0.2">
      <c r="B47" s="354" t="s">
        <v>435</v>
      </c>
      <c r="C47" s="760"/>
      <c r="D47" s="760"/>
      <c r="E47" s="760"/>
      <c r="F47" s="760"/>
      <c r="G47" s="760"/>
      <c r="H47" s="760"/>
      <c r="I47" s="760"/>
      <c r="J47" s="760"/>
      <c r="K47" s="760"/>
      <c r="L47" s="760"/>
      <c r="M47" s="760"/>
      <c r="N47" s="760"/>
      <c r="O47" s="749">
        <f>'Entrada Inver_Finan'!E104</f>
        <v>0</v>
      </c>
      <c r="P47" s="750">
        <f>SUM(C47:O47)</f>
        <v>0</v>
      </c>
      <c r="Q47" s="625"/>
    </row>
    <row r="48" spans="2:21" x14ac:dyDescent="0.2">
      <c r="B48" s="346" t="s">
        <v>461</v>
      </c>
      <c r="C48" s="990">
        <f ca="1">+'Politica Cobr. Pagos'!E65</f>
        <v>0</v>
      </c>
      <c r="D48" s="761">
        <f ca="1">+'Politica Cobr. Pagos'!F65</f>
        <v>0</v>
      </c>
      <c r="E48" s="761">
        <f ca="1">+'Politica Cobr. Pagos'!G65</f>
        <v>0</v>
      </c>
      <c r="F48" s="761">
        <f ca="1">+'Politica Cobr. Pagos'!H65</f>
        <v>0</v>
      </c>
      <c r="G48" s="761">
        <f ca="1">+'Politica Cobr. Pagos'!I65</f>
        <v>0</v>
      </c>
      <c r="H48" s="761">
        <f ca="1">+'Politica Cobr. Pagos'!J65</f>
        <v>0</v>
      </c>
      <c r="I48" s="761">
        <f ca="1">+'Politica Cobr. Pagos'!K65</f>
        <v>0</v>
      </c>
      <c r="J48" s="761">
        <f ca="1">+'Politica Cobr. Pagos'!L65</f>
        <v>0</v>
      </c>
      <c r="K48" s="761">
        <f ca="1">+'Politica Cobr. Pagos'!M65</f>
        <v>0</v>
      </c>
      <c r="L48" s="761">
        <f ca="1">+'Politica Cobr. Pagos'!N65</f>
        <v>0</v>
      </c>
      <c r="M48" s="761">
        <f ca="1">+'Politica Cobr. Pagos'!O65</f>
        <v>0</v>
      </c>
      <c r="N48" s="761">
        <f ca="1">+'Politica Cobr. Pagos'!P65</f>
        <v>0</v>
      </c>
      <c r="O48" s="744"/>
      <c r="P48" s="670">
        <f t="shared" ref="P48:P68" ca="1" si="9">SUM(C48:O48)</f>
        <v>0</v>
      </c>
      <c r="Q48" s="625"/>
    </row>
    <row r="49" spans="2:18" x14ac:dyDescent="0.2">
      <c r="B49" s="346" t="s">
        <v>437</v>
      </c>
      <c r="C49" s="991">
        <f ca="1">IF($C$1&gt;E1,0,OFFSET('Préstamos LP'!$C$35,D1,0,1,1)+OFFSET('Otra financiación'!$G$33,D1,0,1,1))</f>
        <v>0</v>
      </c>
      <c r="D49" s="991">
        <f ca="1">IF($C$1&gt;F1,0,OFFSET('Préstamos LP'!$C$35,E1,0,1,1)+OFFSET('Otra financiación'!$G$33,E1,0,1,1))</f>
        <v>0</v>
      </c>
      <c r="E49" s="991">
        <f ca="1">IF($C$1&gt;G1,0,OFFSET('Préstamos LP'!$C$35,F1,0,1,1)+OFFSET('Otra financiación'!$G$33,F1,0,1,1))</f>
        <v>0</v>
      </c>
      <c r="F49" s="991">
        <f ca="1">IF($C$1&gt;H1,0,OFFSET('Préstamos LP'!$C$35,G1,0,1,1)+OFFSET('Otra financiación'!$G$33,G1,0,1,1))</f>
        <v>0</v>
      </c>
      <c r="G49" s="991">
        <f ca="1">IF($C$1&gt;I1,0,OFFSET('Préstamos LP'!$C$35,H1,0,1,1)+OFFSET('Otra financiación'!$G$33,H1,0,1,1))</f>
        <v>0</v>
      </c>
      <c r="H49" s="991">
        <f ca="1">IF($C$1&gt;J1,0,OFFSET('Préstamos LP'!$C$35,I1,0,1,1)+OFFSET('Otra financiación'!$G$33,I1,0,1,1))</f>
        <v>0</v>
      </c>
      <c r="I49" s="991">
        <f ca="1">IF($C$1&gt;K1,0,OFFSET('Préstamos LP'!$C$35,J1,0,1,1)+OFFSET('Otra financiación'!$G$33,J1,0,1,1))</f>
        <v>0</v>
      </c>
      <c r="J49" s="991">
        <f ca="1">IF($C$1&gt;L1,0,OFFSET('Préstamos LP'!$C$35,K1,0,1,1)+OFFSET('Otra financiación'!$G$33,K1,0,1,1))</f>
        <v>0</v>
      </c>
      <c r="K49" s="991">
        <f ca="1">IF($C$1&gt;M1,0,OFFSET('Préstamos LP'!$C$35,L1,0,1,1)+OFFSET('Otra financiación'!$G$33,L1,0,1,1))</f>
        <v>0</v>
      </c>
      <c r="L49" s="991">
        <f ca="1">IF($C$1&gt;N1,0,OFFSET('Préstamos LP'!$C$35,M1,0,1,1)+OFFSET('Otra financiación'!$G$33,M1,0,1,1))</f>
        <v>0</v>
      </c>
      <c r="M49" s="991">
        <f ca="1">IF($C$1&gt;O1,0,OFFSET('Préstamos LP'!$C$35,N1,0,1,1)+OFFSET('Otra financiación'!$G$33,N1,0,1,1))</f>
        <v>0</v>
      </c>
      <c r="N49" s="991">
        <f ca="1">IF($C$1&gt;P1,0,OFFSET('Préstamos LP'!$C$35,O1,0,1,1)+OFFSET('Otra financiación'!$G$33,O1,0,1,1))</f>
        <v>0</v>
      </c>
      <c r="O49" s="744"/>
      <c r="P49" s="670">
        <f t="shared" ca="1" si="9"/>
        <v>0</v>
      </c>
      <c r="Q49" s="625"/>
    </row>
    <row r="50" spans="2:18" x14ac:dyDescent="0.2">
      <c r="B50" s="346" t="s">
        <v>438</v>
      </c>
      <c r="C50" s="990">
        <f ca="1">IF($C$1&gt;D1,0,OFFSET('Préstamos CP'!$C$24,D1,0,1,1))</f>
        <v>0</v>
      </c>
      <c r="D50" s="761">
        <f ca="1">IF($C$1&gt;E1,0,OFFSET('Préstamos CP'!$C$24,E1,0,1,1))</f>
        <v>0</v>
      </c>
      <c r="E50" s="761">
        <f ca="1">IF($C$1&gt;F1,0,OFFSET('Préstamos CP'!$C$24,F1,0,1,1))</f>
        <v>0</v>
      </c>
      <c r="F50" s="761">
        <f ca="1">IF($C$1&gt;G1,0,OFFSET('Préstamos CP'!$C$24,G1,0,1,1))</f>
        <v>0</v>
      </c>
      <c r="G50" s="761">
        <f ca="1">IF($C$1&gt;H1,0,OFFSET('Préstamos CP'!$C$24,H1,0,1,1))</f>
        <v>0</v>
      </c>
      <c r="H50" s="761">
        <f ca="1">IF($C$1&gt;I1,0,OFFSET('Préstamos CP'!$C$24,I1,0,1,1))</f>
        <v>0</v>
      </c>
      <c r="I50" s="761">
        <f ca="1">IF($C$1&gt;J1,0,OFFSET('Préstamos CP'!$C$24,J1,0,1,1))</f>
        <v>0</v>
      </c>
      <c r="J50" s="761">
        <f ca="1">IF($C$1&gt;K1,0,OFFSET('Préstamos CP'!$C$24,K1,0,1,1))</f>
        <v>0</v>
      </c>
      <c r="K50" s="761">
        <f ca="1">IF($C$1&gt;L1,0,OFFSET('Préstamos CP'!$C$24,L1,0,1,1))</f>
        <v>0</v>
      </c>
      <c r="L50" s="761">
        <f ca="1">IF($C$1&gt;M1,0,OFFSET('Préstamos CP'!$C$24,M1,0,1,1))</f>
        <v>0</v>
      </c>
      <c r="M50" s="761">
        <f ca="1">IF($C$1&gt;N1,0,OFFSET('Préstamos CP'!$C$24,N1,0,1,1))</f>
        <v>0</v>
      </c>
      <c r="N50" s="761">
        <f ca="1">IF($C$1&gt;O1,0,OFFSET('Préstamos CP'!$C$24,O1,0,1,1))</f>
        <v>0</v>
      </c>
      <c r="O50" s="744"/>
      <c r="P50" s="670">
        <f t="shared" ca="1" si="9"/>
        <v>0</v>
      </c>
      <c r="Q50" s="625"/>
    </row>
    <row r="51" spans="2:18" x14ac:dyDescent="0.2">
      <c r="B51" s="355" t="s">
        <v>335</v>
      </c>
      <c r="C51" s="992">
        <f>'CUENTA DE RESULTADOS'!E116</f>
        <v>0</v>
      </c>
      <c r="D51" s="762">
        <f>'CUENTA DE RESULTADOS'!F116</f>
        <v>0</v>
      </c>
      <c r="E51" s="762">
        <f>'CUENTA DE RESULTADOS'!G116</f>
        <v>0</v>
      </c>
      <c r="F51" s="762">
        <f>'CUENTA DE RESULTADOS'!H116</f>
        <v>0</v>
      </c>
      <c r="G51" s="762">
        <f>'CUENTA DE RESULTADOS'!I116</f>
        <v>0</v>
      </c>
      <c r="H51" s="762">
        <f>'CUENTA DE RESULTADOS'!J116</f>
        <v>0</v>
      </c>
      <c r="I51" s="762">
        <f>'CUENTA DE RESULTADOS'!K116</f>
        <v>0</v>
      </c>
      <c r="J51" s="762">
        <f>'CUENTA DE RESULTADOS'!L116</f>
        <v>0</v>
      </c>
      <c r="K51" s="762">
        <f>'CUENTA DE RESULTADOS'!M116</f>
        <v>0</v>
      </c>
      <c r="L51" s="762">
        <f>'CUENTA DE RESULTADOS'!N116</f>
        <v>0</v>
      </c>
      <c r="M51" s="762">
        <f>'CUENTA DE RESULTADOS'!O116</f>
        <v>0</v>
      </c>
      <c r="N51" s="762">
        <f>'CUENTA DE RESULTADOS'!P116</f>
        <v>0</v>
      </c>
      <c r="O51" s="745"/>
      <c r="P51" s="763">
        <f t="shared" si="9"/>
        <v>0</v>
      </c>
      <c r="Q51" s="625"/>
    </row>
    <row r="52" spans="2:18" ht="15.75" x14ac:dyDescent="0.25">
      <c r="B52" s="359" t="s">
        <v>439</v>
      </c>
      <c r="C52" s="764">
        <f t="shared" ref="C52:N52" ca="1" si="10">SUM(C47:C51)</f>
        <v>0</v>
      </c>
      <c r="D52" s="764">
        <f t="shared" ca="1" si="10"/>
        <v>0</v>
      </c>
      <c r="E52" s="764">
        <f t="shared" ca="1" si="10"/>
        <v>0</v>
      </c>
      <c r="F52" s="764">
        <f t="shared" ca="1" si="10"/>
        <v>0</v>
      </c>
      <c r="G52" s="764">
        <f t="shared" ca="1" si="10"/>
        <v>0</v>
      </c>
      <c r="H52" s="764">
        <f t="shared" ca="1" si="10"/>
        <v>0</v>
      </c>
      <c r="I52" s="764">
        <f t="shared" ca="1" si="10"/>
        <v>0</v>
      </c>
      <c r="J52" s="764">
        <f t="shared" ca="1" si="10"/>
        <v>0</v>
      </c>
      <c r="K52" s="764">
        <f t="shared" ca="1" si="10"/>
        <v>0</v>
      </c>
      <c r="L52" s="764">
        <f t="shared" ca="1" si="10"/>
        <v>0</v>
      </c>
      <c r="M52" s="764">
        <f t="shared" ca="1" si="10"/>
        <v>0</v>
      </c>
      <c r="N52" s="764">
        <f t="shared" ca="1" si="10"/>
        <v>0</v>
      </c>
      <c r="O52" s="747"/>
      <c r="P52" s="765">
        <f ca="1">SUM(P47:P51)</f>
        <v>0</v>
      </c>
      <c r="Q52" s="625"/>
      <c r="R52" s="42"/>
    </row>
    <row r="53" spans="2:18" ht="20.25" customHeight="1" x14ac:dyDescent="0.2">
      <c r="B53" s="354" t="s">
        <v>440</v>
      </c>
      <c r="C53" s="760">
        <f ca="1">'Politica Cobr. Pagos'!E128+'Politica Cobr. Pagos'!E129+'Margen B'!C143</f>
        <v>0</v>
      </c>
      <c r="D53" s="760">
        <f ca="1">'Politica Cobr. Pagos'!F128+'Politica Cobr. Pagos'!F129+'Margen B'!D143</f>
        <v>0</v>
      </c>
      <c r="E53" s="760">
        <f ca="1">'Politica Cobr. Pagos'!G128+'Politica Cobr. Pagos'!G129+'Margen B'!E143</f>
        <v>0</v>
      </c>
      <c r="F53" s="760">
        <f ca="1">'Politica Cobr. Pagos'!H128+'Politica Cobr. Pagos'!H129+'Margen B'!F143</f>
        <v>0</v>
      </c>
      <c r="G53" s="760">
        <f ca="1">'Politica Cobr. Pagos'!I128+'Politica Cobr. Pagos'!I129+'Margen B'!G143</f>
        <v>0</v>
      </c>
      <c r="H53" s="760">
        <f ca="1">'Politica Cobr. Pagos'!J128+'Politica Cobr. Pagos'!J129+'Margen B'!H143</f>
        <v>0</v>
      </c>
      <c r="I53" s="760">
        <f ca="1">'Politica Cobr. Pagos'!K128+'Politica Cobr. Pagos'!K129+'Margen B'!I143</f>
        <v>0</v>
      </c>
      <c r="J53" s="760">
        <f ca="1">'Politica Cobr. Pagos'!L128+'Politica Cobr. Pagos'!L129+'Margen B'!J143</f>
        <v>0</v>
      </c>
      <c r="K53" s="760">
        <f ca="1">'Politica Cobr. Pagos'!M128+'Politica Cobr. Pagos'!M129+'Margen B'!K143</f>
        <v>0</v>
      </c>
      <c r="L53" s="760">
        <f ca="1">'Politica Cobr. Pagos'!N128+'Politica Cobr. Pagos'!N129+'Margen B'!L143</f>
        <v>0</v>
      </c>
      <c r="M53" s="760">
        <f ca="1">'Politica Cobr. Pagos'!O128+'Politica Cobr. Pagos'!O129+'Margen B'!M143</f>
        <v>0</v>
      </c>
      <c r="N53" s="760">
        <f ca="1">'Politica Cobr. Pagos'!P128+'Politica Cobr. Pagos'!P129+'Margen B'!N143</f>
        <v>0</v>
      </c>
      <c r="O53" s="749"/>
      <c r="P53" s="750">
        <f t="shared" ca="1" si="9"/>
        <v>0</v>
      </c>
      <c r="Q53" s="625"/>
    </row>
    <row r="54" spans="2:18" ht="25.5" x14ac:dyDescent="0.2">
      <c r="B54" s="993" t="str">
        <f>B17</f>
        <v>Pago de otros costes directos imputables a los productos o servicios</v>
      </c>
      <c r="C54" s="761">
        <f>+'Margen B'!D116</f>
        <v>0</v>
      </c>
      <c r="D54" s="761">
        <f>+'Margen B'!E116</f>
        <v>0</v>
      </c>
      <c r="E54" s="761">
        <f>+'Margen B'!F116</f>
        <v>0</v>
      </c>
      <c r="F54" s="761">
        <f>+'Margen B'!G116</f>
        <v>0</v>
      </c>
      <c r="G54" s="761">
        <f>+'Margen B'!H116</f>
        <v>0</v>
      </c>
      <c r="H54" s="761">
        <f>+'Margen B'!I116</f>
        <v>0</v>
      </c>
      <c r="I54" s="761">
        <f>+'Margen B'!J116</f>
        <v>0</v>
      </c>
      <c r="J54" s="761">
        <f>+'Margen B'!K116</f>
        <v>0</v>
      </c>
      <c r="K54" s="761">
        <f>+'Margen B'!L116</f>
        <v>0</v>
      </c>
      <c r="L54" s="761">
        <f>+'Margen B'!M116</f>
        <v>0</v>
      </c>
      <c r="M54" s="761">
        <f>+'Margen B'!N116</f>
        <v>0</v>
      </c>
      <c r="N54" s="761">
        <f>+'Margen B'!O116</f>
        <v>0</v>
      </c>
      <c r="O54" s="744"/>
      <c r="P54" s="670">
        <f t="shared" si="9"/>
        <v>0</v>
      </c>
      <c r="Q54" s="625"/>
    </row>
    <row r="55" spans="2:18" ht="25.5" x14ac:dyDescent="0.2">
      <c r="B55" s="993" t="str">
        <f>B18</f>
        <v>Pago de otros costes proporcionales comunes a todos los productos/servicios</v>
      </c>
      <c r="C55" s="761">
        <f>+'Margen B'!D126</f>
        <v>0</v>
      </c>
      <c r="D55" s="761">
        <f>+'Margen B'!E126</f>
        <v>0</v>
      </c>
      <c r="E55" s="761">
        <f>+'Margen B'!F126</f>
        <v>0</v>
      </c>
      <c r="F55" s="761">
        <f>+'Margen B'!G126</f>
        <v>0</v>
      </c>
      <c r="G55" s="761">
        <f>+'Margen B'!H126</f>
        <v>0</v>
      </c>
      <c r="H55" s="761">
        <f>+'Margen B'!I126</f>
        <v>0</v>
      </c>
      <c r="I55" s="761">
        <f>+'Margen B'!J126</f>
        <v>0</v>
      </c>
      <c r="J55" s="761">
        <f>+'Margen B'!K126</f>
        <v>0</v>
      </c>
      <c r="K55" s="761">
        <f>+'Margen B'!L126</f>
        <v>0</v>
      </c>
      <c r="L55" s="761">
        <f>+'Margen B'!M126</f>
        <v>0</v>
      </c>
      <c r="M55" s="761">
        <f>+'Margen B'!N126</f>
        <v>0</v>
      </c>
      <c r="N55" s="761">
        <f>+'Margen B'!O126</f>
        <v>0</v>
      </c>
      <c r="O55" s="761"/>
      <c r="P55" s="670">
        <f>SUM(C55:O55)</f>
        <v>0</v>
      </c>
      <c r="Q55" s="625"/>
    </row>
    <row r="56" spans="2:18" x14ac:dyDescent="0.2">
      <c r="B56" s="346" t="str">
        <f t="shared" ref="B56:B61" si="11">B19</f>
        <v>Total Gastos de personal</v>
      </c>
      <c r="C56" s="761">
        <f>'CUENTA DE RESULTADOS'!E72</f>
        <v>0</v>
      </c>
      <c r="D56" s="761">
        <f>'CUENTA DE RESULTADOS'!F72</f>
        <v>0</v>
      </c>
      <c r="E56" s="761">
        <f>'CUENTA DE RESULTADOS'!G72</f>
        <v>0</v>
      </c>
      <c r="F56" s="761">
        <f>'CUENTA DE RESULTADOS'!H72</f>
        <v>0</v>
      </c>
      <c r="G56" s="761">
        <f>'CUENTA DE RESULTADOS'!I72</f>
        <v>0</v>
      </c>
      <c r="H56" s="761">
        <f>'CUENTA DE RESULTADOS'!J72</f>
        <v>0</v>
      </c>
      <c r="I56" s="761">
        <f>'CUENTA DE RESULTADOS'!K72</f>
        <v>0</v>
      </c>
      <c r="J56" s="761">
        <f>'CUENTA DE RESULTADOS'!L72</f>
        <v>0</v>
      </c>
      <c r="K56" s="761">
        <f>'CUENTA DE RESULTADOS'!M72</f>
        <v>0</v>
      </c>
      <c r="L56" s="761">
        <f>'CUENTA DE RESULTADOS'!N72</f>
        <v>0</v>
      </c>
      <c r="M56" s="761">
        <f>'CUENTA DE RESULTADOS'!O72</f>
        <v>0</v>
      </c>
      <c r="N56" s="761">
        <f>'CUENTA DE RESULTADOS'!P72</f>
        <v>0</v>
      </c>
      <c r="O56" s="744"/>
      <c r="P56" s="670">
        <f t="shared" si="9"/>
        <v>0</v>
      </c>
      <c r="Q56" s="625"/>
    </row>
    <row r="57" spans="2:18" x14ac:dyDescent="0.2">
      <c r="B57" s="346" t="str">
        <f t="shared" si="11"/>
        <v>Total Gastos financieros</v>
      </c>
      <c r="C57" s="671">
        <f ca="1">'CUENTA DE RESULTADOS'!E123</f>
        <v>0</v>
      </c>
      <c r="D57" s="671">
        <f ca="1">'CUENTA DE RESULTADOS'!F123</f>
        <v>0</v>
      </c>
      <c r="E57" s="671">
        <f ca="1">'CUENTA DE RESULTADOS'!G123</f>
        <v>0</v>
      </c>
      <c r="F57" s="671">
        <f ca="1">'CUENTA DE RESULTADOS'!H123</f>
        <v>0</v>
      </c>
      <c r="G57" s="671">
        <f ca="1">'CUENTA DE RESULTADOS'!I123</f>
        <v>0</v>
      </c>
      <c r="H57" s="671">
        <f ca="1">'CUENTA DE RESULTADOS'!J123</f>
        <v>0</v>
      </c>
      <c r="I57" s="671">
        <f ca="1">'CUENTA DE RESULTADOS'!K123</f>
        <v>0</v>
      </c>
      <c r="J57" s="671">
        <f ca="1">'CUENTA DE RESULTADOS'!L123</f>
        <v>0</v>
      </c>
      <c r="K57" s="671">
        <f ca="1">'CUENTA DE RESULTADOS'!M123</f>
        <v>0</v>
      </c>
      <c r="L57" s="671">
        <f ca="1">'CUENTA DE RESULTADOS'!N123</f>
        <v>0</v>
      </c>
      <c r="M57" s="671">
        <f ca="1">'CUENTA DE RESULTADOS'!O123</f>
        <v>0</v>
      </c>
      <c r="N57" s="671">
        <f ca="1">'CUENTA DE RESULTADOS'!P123</f>
        <v>0</v>
      </c>
      <c r="O57" s="744"/>
      <c r="P57" s="670">
        <f t="shared" ca="1" si="9"/>
        <v>0</v>
      </c>
      <c r="Q57" s="625"/>
    </row>
    <row r="58" spans="2:18" x14ac:dyDescent="0.2">
      <c r="B58" s="346" t="str">
        <f t="shared" si="11"/>
        <v>Total Gastos comerciales</v>
      </c>
      <c r="C58" s="671">
        <f>'CUENTA DE RESULTADOS'!E86</f>
        <v>0</v>
      </c>
      <c r="D58" s="671">
        <f>'CUENTA DE RESULTADOS'!F86</f>
        <v>0</v>
      </c>
      <c r="E58" s="671">
        <f>'CUENTA DE RESULTADOS'!G86</f>
        <v>0</v>
      </c>
      <c r="F58" s="671">
        <f>'CUENTA DE RESULTADOS'!H86</f>
        <v>0</v>
      </c>
      <c r="G58" s="671">
        <f>'CUENTA DE RESULTADOS'!I86</f>
        <v>0</v>
      </c>
      <c r="H58" s="671">
        <f>'CUENTA DE RESULTADOS'!J86</f>
        <v>0</v>
      </c>
      <c r="I58" s="671">
        <f>'CUENTA DE RESULTADOS'!K86</f>
        <v>0</v>
      </c>
      <c r="J58" s="671">
        <f>'CUENTA DE RESULTADOS'!L86</f>
        <v>0</v>
      </c>
      <c r="K58" s="671">
        <f>'CUENTA DE RESULTADOS'!M86</f>
        <v>0</v>
      </c>
      <c r="L58" s="671">
        <f>'CUENTA DE RESULTADOS'!N86</f>
        <v>0</v>
      </c>
      <c r="M58" s="671">
        <f>'CUENTA DE RESULTADOS'!O86</f>
        <v>0</v>
      </c>
      <c r="N58" s="671">
        <f>'CUENTA DE RESULTADOS'!P86</f>
        <v>0</v>
      </c>
      <c r="O58" s="744"/>
      <c r="P58" s="670">
        <f t="shared" si="9"/>
        <v>0</v>
      </c>
      <c r="Q58" s="625"/>
    </row>
    <row r="59" spans="2:18" x14ac:dyDescent="0.2">
      <c r="B59" s="346" t="str">
        <f t="shared" si="11"/>
        <v>Total Otros gastos (Servicios exteriores)</v>
      </c>
      <c r="C59" s="671">
        <f>'CUENTA DE RESULTADOS'!E101</f>
        <v>0</v>
      </c>
      <c r="D59" s="671">
        <f>'CUENTA DE RESULTADOS'!F101</f>
        <v>0</v>
      </c>
      <c r="E59" s="671">
        <f>'CUENTA DE RESULTADOS'!G101</f>
        <v>0</v>
      </c>
      <c r="F59" s="671">
        <f>'CUENTA DE RESULTADOS'!H101</f>
        <v>0</v>
      </c>
      <c r="G59" s="671">
        <f>'CUENTA DE RESULTADOS'!I101</f>
        <v>0</v>
      </c>
      <c r="H59" s="671">
        <f>'CUENTA DE RESULTADOS'!J101</f>
        <v>0</v>
      </c>
      <c r="I59" s="671">
        <f>'CUENTA DE RESULTADOS'!K101</f>
        <v>0</v>
      </c>
      <c r="J59" s="671">
        <f>'CUENTA DE RESULTADOS'!L101</f>
        <v>0</v>
      </c>
      <c r="K59" s="671">
        <f>'CUENTA DE RESULTADOS'!M101</f>
        <v>0</v>
      </c>
      <c r="L59" s="671">
        <f>'CUENTA DE RESULTADOS'!N101</f>
        <v>0</v>
      </c>
      <c r="M59" s="671">
        <f>'CUENTA DE RESULTADOS'!O101</f>
        <v>0</v>
      </c>
      <c r="N59" s="671">
        <f>'CUENTA DE RESULTADOS'!P101</f>
        <v>0</v>
      </c>
      <c r="O59" s="744"/>
      <c r="P59" s="670">
        <f t="shared" si="9"/>
        <v>0</v>
      </c>
      <c r="Q59" s="625"/>
    </row>
    <row r="60" spans="2:18" x14ac:dyDescent="0.2">
      <c r="B60" s="346" t="str">
        <f t="shared" si="11"/>
        <v>Devolución de préstamos financieros</v>
      </c>
      <c r="C60" s="671">
        <f ca="1">OFFSET('Préstamos LP'!$F$35,D1,0,1,1)+OFFSET('Préstamos CP'!$E$24,D1,0,1,1)</f>
        <v>0</v>
      </c>
      <c r="D60" s="671">
        <f ca="1">OFFSET('Préstamos LP'!$F$35,E1,0,1,1)+OFFSET('Préstamos CP'!$E$24,E1,0,1,1)</f>
        <v>0</v>
      </c>
      <c r="E60" s="671">
        <f ca="1">OFFSET('Préstamos LP'!$F$35,F1,0,1,1)+OFFSET('Préstamos CP'!$E$24,F1,0,1,1)</f>
        <v>0</v>
      </c>
      <c r="F60" s="671">
        <f ca="1">OFFSET('Préstamos LP'!$F$35,G1,0,1,1)+OFFSET('Préstamos CP'!$E$24,G1,0,1,1)</f>
        <v>0</v>
      </c>
      <c r="G60" s="671">
        <f ca="1">OFFSET('Préstamos LP'!$F$35,H1,0,1,1)+OFFSET('Préstamos CP'!$E$24,H1,0,1,1)</f>
        <v>0</v>
      </c>
      <c r="H60" s="671">
        <f ca="1">OFFSET('Préstamos LP'!$F$35,I1,0,1,1)+OFFSET('Préstamos CP'!$E$24,I1,0,1,1)</f>
        <v>0</v>
      </c>
      <c r="I60" s="671">
        <f ca="1">OFFSET('Préstamos LP'!$F$35,J1,0,1,1)+OFFSET('Préstamos CP'!$E$24,J1,0,1,1)</f>
        <v>0</v>
      </c>
      <c r="J60" s="671">
        <f ca="1">OFFSET('Préstamos LP'!$F$35,K1,0,1,1)+OFFSET('Préstamos CP'!$E$24,K1,0,1,1)</f>
        <v>0</v>
      </c>
      <c r="K60" s="671">
        <f ca="1">OFFSET('Préstamos LP'!$F$35,L1,0,1,1)+OFFSET('Préstamos CP'!$E$24,L1,0,1,1)</f>
        <v>0</v>
      </c>
      <c r="L60" s="671">
        <f ca="1">OFFSET('Préstamos LP'!$F$35,M1,0,1,1)+OFFSET('Préstamos CP'!$E$24,M1,0,1,1)</f>
        <v>0</v>
      </c>
      <c r="M60" s="671">
        <f ca="1">OFFSET('Préstamos LP'!$F$35,N1,0,1,1)+OFFSET('Préstamos CP'!$E$24,N1,0,1,1)</f>
        <v>0</v>
      </c>
      <c r="N60" s="671">
        <f ca="1">OFFSET('Préstamos LP'!$F$35,O1,0,1,1)+OFFSET('Préstamos CP'!$E$24,O1,0,1,1)</f>
        <v>0</v>
      </c>
      <c r="O60" s="744"/>
      <c r="P60" s="670">
        <f t="shared" ca="1" si="9"/>
        <v>0</v>
      </c>
      <c r="Q60" s="625"/>
    </row>
    <row r="61" spans="2:18" x14ac:dyDescent="0.2">
      <c r="B61" s="346" t="str">
        <f t="shared" si="11"/>
        <v>Amortización de los arrendamientos financieros</v>
      </c>
      <c r="C61" s="671">
        <f ca="1">OFFSET('Préstamos LP'!$W$35,D1,0,1,1)</f>
        <v>0</v>
      </c>
      <c r="D61" s="671">
        <f ca="1">OFFSET('Préstamos LP'!$W$35,E1,0,1,1)</f>
        <v>0</v>
      </c>
      <c r="E61" s="671">
        <f ca="1">OFFSET('Préstamos LP'!$W$35,F1,0,1,1)</f>
        <v>0</v>
      </c>
      <c r="F61" s="671">
        <f ca="1">OFFSET('Préstamos LP'!$W$35,G1,0,1,1)</f>
        <v>0</v>
      </c>
      <c r="G61" s="671">
        <f ca="1">OFFSET('Préstamos LP'!$W$35,H1,0,1,1)</f>
        <v>0</v>
      </c>
      <c r="H61" s="671">
        <f ca="1">OFFSET('Préstamos LP'!$W$35,I1,0,1,1)</f>
        <v>0</v>
      </c>
      <c r="I61" s="671">
        <f ca="1">OFFSET('Préstamos LP'!$W$35,J1,0,1,1)</f>
        <v>0</v>
      </c>
      <c r="J61" s="671">
        <f ca="1">OFFSET('Préstamos LP'!$W$35,K1,0,1,1)</f>
        <v>0</v>
      </c>
      <c r="K61" s="671">
        <f ca="1">OFFSET('Préstamos LP'!$W$35,L1,0,1,1)</f>
        <v>0</v>
      </c>
      <c r="L61" s="671">
        <f ca="1">OFFSET('Préstamos LP'!$W$35,M1,0,1,1)</f>
        <v>0</v>
      </c>
      <c r="M61" s="671">
        <f ca="1">OFFSET('Préstamos LP'!$W$35,N1,0,1,1)</f>
        <v>0</v>
      </c>
      <c r="N61" s="671">
        <f ca="1">OFFSET('Préstamos LP'!$W$35,O1,0,1,1)</f>
        <v>0</v>
      </c>
      <c r="O61" s="744"/>
      <c r="P61" s="670">
        <f t="shared" ca="1" si="9"/>
        <v>0</v>
      </c>
      <c r="Q61" s="625"/>
    </row>
    <row r="62" spans="2:18" x14ac:dyDescent="0.2">
      <c r="B62" s="346" t="s">
        <v>445</v>
      </c>
      <c r="C62" s="671">
        <f ca="1">OFFSET('Otra financiación'!$G$84,D1,0,1,1)</f>
        <v>0</v>
      </c>
      <c r="D62" s="671">
        <f ca="1">OFFSET('Otra financiación'!$G$84,E1,0,1,1)</f>
        <v>0</v>
      </c>
      <c r="E62" s="671">
        <f ca="1">OFFSET('Otra financiación'!$G$84,F1,0,1,1)</f>
        <v>0</v>
      </c>
      <c r="F62" s="671">
        <f ca="1">OFFSET('Otra financiación'!$G$84,G1,0,1,1)</f>
        <v>0</v>
      </c>
      <c r="G62" s="671">
        <f ca="1">OFFSET('Otra financiación'!$G$84,H1,0,1,1)</f>
        <v>0</v>
      </c>
      <c r="H62" s="671">
        <f ca="1">OFFSET('Otra financiación'!$G$84,I1,0,1,1)</f>
        <v>0</v>
      </c>
      <c r="I62" s="671">
        <f ca="1">OFFSET('Otra financiación'!$G$84,J1,0,1,1)</f>
        <v>0</v>
      </c>
      <c r="J62" s="671">
        <f ca="1">OFFSET('Otra financiación'!$G$84,K1,0,1,1)</f>
        <v>0</v>
      </c>
      <c r="K62" s="671">
        <f ca="1">OFFSET('Otra financiación'!$G$84,L1,0,1,1)</f>
        <v>0</v>
      </c>
      <c r="L62" s="671">
        <f ca="1">OFFSET('Otra financiación'!$G$84,M1,0,1,1)</f>
        <v>0</v>
      </c>
      <c r="M62" s="671">
        <f ca="1">OFFSET('Otra financiación'!$G$84,N1,0,1,1)</f>
        <v>0</v>
      </c>
      <c r="N62" s="671">
        <f ca="1">OFFSET('Otra financiación'!$G$84,O1,0,1,1)</f>
        <v>0</v>
      </c>
      <c r="O62" s="744"/>
      <c r="P62" s="670">
        <f t="shared" ca="1" si="9"/>
        <v>0</v>
      </c>
      <c r="Q62" s="625"/>
    </row>
    <row r="63" spans="2:18" x14ac:dyDescent="0.2">
      <c r="B63" s="346" t="s">
        <v>446</v>
      </c>
      <c r="C63" s="761"/>
      <c r="D63" s="761"/>
      <c r="E63" s="761"/>
      <c r="F63" s="761"/>
      <c r="G63" s="761"/>
      <c r="H63" s="761"/>
      <c r="I63" s="761"/>
      <c r="J63" s="761"/>
      <c r="K63" s="761"/>
      <c r="L63" s="761"/>
      <c r="M63" s="761"/>
      <c r="N63" s="625"/>
      <c r="O63" s="752">
        <f>'Entrada Inver_Finan'!F63-'Préstamos LP'!J12</f>
        <v>0</v>
      </c>
      <c r="P63" s="670">
        <f>SUM(C63:O63)</f>
        <v>0</v>
      </c>
      <c r="Q63" s="625"/>
    </row>
    <row r="64" spans="2:18" x14ac:dyDescent="0.2">
      <c r="B64" s="346" t="s">
        <v>447</v>
      </c>
      <c r="C64" s="766">
        <f ca="1">(C54+C55+C58+C59+C63)*'Datos generales'!$D$19+OFFSET('Préstamos LP'!$X$35,D1,0,1,1)</f>
        <v>0</v>
      </c>
      <c r="D64" s="766">
        <f ca="1">(D54+D55+D58+D59+D63)*'Datos generales'!$D$19+OFFSET('Préstamos LP'!$X$35,E1,0,1,1)</f>
        <v>0</v>
      </c>
      <c r="E64" s="766">
        <f ca="1">(E54+E55+E58+E59+E63)*'Datos generales'!$D$19+OFFSET('Préstamos LP'!$X$35,F1,0,1,1)</f>
        <v>0</v>
      </c>
      <c r="F64" s="766">
        <f ca="1">(F54+F55+F58+F59+F63)*'Datos generales'!$D$19+OFFSET('Préstamos LP'!$X$35,G1,0,1,1)</f>
        <v>0</v>
      </c>
      <c r="G64" s="766">
        <f ca="1">(G54+G55+G58+G59+G63)*'Datos generales'!$D$19+OFFSET('Préstamos LP'!$X$35,H1,0,1,1)</f>
        <v>0</v>
      </c>
      <c r="H64" s="766">
        <f ca="1">(H54+H55+H58+H59+H63)*'Datos generales'!$D$19+OFFSET('Préstamos LP'!$X$35,I1,0,1,1)</f>
        <v>0</v>
      </c>
      <c r="I64" s="766">
        <f ca="1">(I54+I55+I58+I59+I63)*'Datos generales'!$D$19+OFFSET('Préstamos LP'!$X$35,J1,0,1,1)</f>
        <v>0</v>
      </c>
      <c r="J64" s="766">
        <f ca="1">(J54+J55+J58+J59+J63)*'Datos generales'!$D$19+OFFSET('Préstamos LP'!$X$35,K1,0,1,1)</f>
        <v>0</v>
      </c>
      <c r="K64" s="766">
        <f ca="1">(K54+K55+K58+K59+K63)*'Datos generales'!$D$19+OFFSET('Préstamos LP'!$X$35,L1,0,1,1)</f>
        <v>0</v>
      </c>
      <c r="L64" s="766">
        <f ca="1">(L54+L55+L58+L59+L63)*'Datos generales'!$D$19+OFFSET('Préstamos LP'!$X$35,M1,0,1,1)</f>
        <v>0</v>
      </c>
      <c r="M64" s="766">
        <f ca="1">(M54+M55+M58+M59+M63)*'Datos generales'!$D$19+OFFSET('Préstamos LP'!$X$35,N1,0,1,1)</f>
        <v>0</v>
      </c>
      <c r="N64" s="766">
        <f ca="1">(N54+N55+N58+N59+N63)*'Datos generales'!$D$19+OFFSET('Préstamos LP'!$X$35,O1,0,1,1)</f>
        <v>0</v>
      </c>
      <c r="O64" s="766">
        <f ca="1">(O54+O55+O58+O59+O63)*'Datos generales'!$D$19+OFFSET('Préstamos LP'!$X$35,P1,0,1,1)</f>
        <v>0</v>
      </c>
      <c r="P64" s="670">
        <f t="shared" ca="1" si="9"/>
        <v>0</v>
      </c>
      <c r="Q64" s="625"/>
    </row>
    <row r="65" spans="2:22" x14ac:dyDescent="0.2">
      <c r="B65" s="308" t="s">
        <v>448</v>
      </c>
      <c r="C65" s="767">
        <f>IF($C$1&gt;D1,0, IF(C39&lt;0,0,C39))</f>
        <v>0</v>
      </c>
      <c r="D65" s="671"/>
      <c r="E65" s="671"/>
      <c r="F65" s="767">
        <f ca="1">IF($C$1&gt;G1,0, IF(E76&lt;0,0,E76))</f>
        <v>0</v>
      </c>
      <c r="G65" s="671"/>
      <c r="H65" s="671"/>
      <c r="I65" s="767">
        <f ca="1">IF($C$1&gt;J1,0, IF(H76&lt;0,0,H76))</f>
        <v>0</v>
      </c>
      <c r="J65" s="671"/>
      <c r="K65" s="671"/>
      <c r="L65" s="767">
        <f ca="1">IF($C$1&gt;M1,0, IF(K76&lt;0,0,K76))</f>
        <v>0</v>
      </c>
      <c r="M65" s="671"/>
      <c r="N65" s="671"/>
      <c r="O65" s="744"/>
      <c r="P65" s="670">
        <f t="shared" ca="1" si="9"/>
        <v>0</v>
      </c>
      <c r="Q65" s="625"/>
    </row>
    <row r="66" spans="2:22" x14ac:dyDescent="0.2">
      <c r="B66" s="308" t="s">
        <v>462</v>
      </c>
      <c r="C66" s="767"/>
      <c r="D66" s="671"/>
      <c r="E66" s="671"/>
      <c r="F66" s="767"/>
      <c r="G66" s="671"/>
      <c r="H66" s="671"/>
      <c r="I66" s="767"/>
      <c r="J66" s="671"/>
      <c r="K66" s="671"/>
      <c r="L66" s="767"/>
      <c r="M66" s="671"/>
      <c r="N66" s="671"/>
      <c r="O66" s="744"/>
      <c r="P66" s="670">
        <f t="shared" si="9"/>
        <v>0</v>
      </c>
      <c r="Q66" s="625"/>
    </row>
    <row r="67" spans="2:22" x14ac:dyDescent="0.2">
      <c r="B67" s="308" t="s">
        <v>463</v>
      </c>
      <c r="C67" s="767"/>
      <c r="D67" s="671"/>
      <c r="E67" s="671"/>
      <c r="F67" s="767">
        <f ca="1">'Impuesto sociedades'!F60</f>
        <v>0</v>
      </c>
      <c r="G67" s="671"/>
      <c r="H67" s="671"/>
      <c r="I67" s="767">
        <f ca="1">'Impuesto sociedades'!F61</f>
        <v>0</v>
      </c>
      <c r="J67" s="671"/>
      <c r="K67" s="671"/>
      <c r="L67" s="767">
        <f ca="1">'Impuesto sociedades'!F62</f>
        <v>0</v>
      </c>
      <c r="M67" s="671"/>
      <c r="N67" s="671"/>
      <c r="O67" s="744"/>
      <c r="P67" s="670">
        <f t="shared" ca="1" si="9"/>
        <v>0</v>
      </c>
      <c r="Q67" s="625"/>
    </row>
    <row r="68" spans="2:22" x14ac:dyDescent="0.2">
      <c r="B68" s="308" t="s">
        <v>451</v>
      </c>
      <c r="C68" s="671">
        <f ca="1">'CUENTA DE RESULTADOS'!E81-'CUENTA DE RESULTADOS'!E80</f>
        <v>0</v>
      </c>
      <c r="D68" s="671">
        <f ca="1">'CUENTA DE RESULTADOS'!F81-'CUENTA DE RESULTADOS'!F80</f>
        <v>0</v>
      </c>
      <c r="E68" s="671">
        <f ca="1">'CUENTA DE RESULTADOS'!G81-'CUENTA DE RESULTADOS'!G80</f>
        <v>0</v>
      </c>
      <c r="F68" s="671">
        <f ca="1">'CUENTA DE RESULTADOS'!H81-'CUENTA DE RESULTADOS'!H80</f>
        <v>0</v>
      </c>
      <c r="G68" s="671">
        <f ca="1">'CUENTA DE RESULTADOS'!I81-'CUENTA DE RESULTADOS'!I80</f>
        <v>0</v>
      </c>
      <c r="H68" s="671">
        <f ca="1">'CUENTA DE RESULTADOS'!J81-'CUENTA DE RESULTADOS'!J80</f>
        <v>0</v>
      </c>
      <c r="I68" s="671">
        <f ca="1">'CUENTA DE RESULTADOS'!K81-'CUENTA DE RESULTADOS'!K80</f>
        <v>0</v>
      </c>
      <c r="J68" s="671">
        <f ca="1">'CUENTA DE RESULTADOS'!L81-'CUENTA DE RESULTADOS'!L80</f>
        <v>0</v>
      </c>
      <c r="K68" s="671">
        <f ca="1">'CUENTA DE RESULTADOS'!M81-'CUENTA DE RESULTADOS'!M80</f>
        <v>0</v>
      </c>
      <c r="L68" s="671">
        <f ca="1">'CUENTA DE RESULTADOS'!N81-'CUENTA DE RESULTADOS'!N80</f>
        <v>0</v>
      </c>
      <c r="M68" s="671">
        <f ca="1">'CUENTA DE RESULTADOS'!O81-'CUENTA DE RESULTADOS'!O80</f>
        <v>0</v>
      </c>
      <c r="N68" s="671">
        <f ca="1">'CUENTA DE RESULTADOS'!P81-'CUENTA DE RESULTADOS'!P80</f>
        <v>0</v>
      </c>
      <c r="O68" s="768"/>
      <c r="P68" s="670">
        <f t="shared" ca="1" si="9"/>
        <v>0</v>
      </c>
      <c r="Q68" s="625"/>
    </row>
    <row r="69" spans="2:22" x14ac:dyDescent="0.2">
      <c r="B69" s="360" t="s">
        <v>452</v>
      </c>
      <c r="C69" s="769"/>
      <c r="D69" s="769"/>
      <c r="E69" s="769"/>
      <c r="F69" s="770"/>
      <c r="G69" s="769"/>
      <c r="H69" s="769"/>
      <c r="I69" s="770"/>
      <c r="J69" s="769"/>
      <c r="K69" s="769"/>
      <c r="L69" s="770"/>
      <c r="M69" s="769"/>
      <c r="N69" s="769"/>
      <c r="O69" s="745"/>
      <c r="P69" s="763">
        <f>SUM(C69:O69)</f>
        <v>0</v>
      </c>
      <c r="Q69" s="625"/>
    </row>
    <row r="70" spans="2:22" ht="15.75" x14ac:dyDescent="0.25">
      <c r="B70" s="359" t="s">
        <v>453</v>
      </c>
      <c r="C70" s="764">
        <f t="shared" ref="C70:P70" ca="1" si="12">SUM(C53:C69)</f>
        <v>0</v>
      </c>
      <c r="D70" s="764">
        <f t="shared" ca="1" si="12"/>
        <v>0</v>
      </c>
      <c r="E70" s="764">
        <f t="shared" ca="1" si="12"/>
        <v>0</v>
      </c>
      <c r="F70" s="764">
        <f t="shared" ca="1" si="12"/>
        <v>0</v>
      </c>
      <c r="G70" s="764">
        <f t="shared" ca="1" si="12"/>
        <v>0</v>
      </c>
      <c r="H70" s="764">
        <f t="shared" ca="1" si="12"/>
        <v>0</v>
      </c>
      <c r="I70" s="764">
        <f t="shared" ca="1" si="12"/>
        <v>0</v>
      </c>
      <c r="J70" s="764">
        <f t="shared" ca="1" si="12"/>
        <v>0</v>
      </c>
      <c r="K70" s="764">
        <f t="shared" ca="1" si="12"/>
        <v>0</v>
      </c>
      <c r="L70" s="764">
        <f t="shared" ca="1" si="12"/>
        <v>0</v>
      </c>
      <c r="M70" s="764">
        <f t="shared" ca="1" si="12"/>
        <v>0</v>
      </c>
      <c r="N70" s="764">
        <f t="shared" ca="1" si="12"/>
        <v>0</v>
      </c>
      <c r="O70" s="747">
        <f t="shared" ca="1" si="12"/>
        <v>0</v>
      </c>
      <c r="P70" s="765">
        <f t="shared" ca="1" si="12"/>
        <v>0</v>
      </c>
      <c r="Q70" s="625"/>
      <c r="R70" s="42"/>
    </row>
    <row r="71" spans="2:22" ht="18.75" customHeight="1" x14ac:dyDescent="0.2">
      <c r="B71" s="361" t="s">
        <v>454</v>
      </c>
      <c r="C71" s="771">
        <f t="shared" ref="C71:P71" ca="1" si="13">+C52-C70</f>
        <v>0</v>
      </c>
      <c r="D71" s="771">
        <f t="shared" ca="1" si="13"/>
        <v>0</v>
      </c>
      <c r="E71" s="771">
        <f t="shared" ca="1" si="13"/>
        <v>0</v>
      </c>
      <c r="F71" s="771">
        <f t="shared" ca="1" si="13"/>
        <v>0</v>
      </c>
      <c r="G71" s="771">
        <f t="shared" ca="1" si="13"/>
        <v>0</v>
      </c>
      <c r="H71" s="771">
        <f t="shared" ca="1" si="13"/>
        <v>0</v>
      </c>
      <c r="I71" s="771">
        <f t="shared" ca="1" si="13"/>
        <v>0</v>
      </c>
      <c r="J71" s="771">
        <f t="shared" ca="1" si="13"/>
        <v>0</v>
      </c>
      <c r="K71" s="771">
        <f t="shared" ca="1" si="13"/>
        <v>0</v>
      </c>
      <c r="L71" s="771">
        <f t="shared" ca="1" si="13"/>
        <v>0</v>
      </c>
      <c r="M71" s="771">
        <f t="shared" ca="1" si="13"/>
        <v>0</v>
      </c>
      <c r="N71" s="771">
        <f t="shared" ca="1" si="13"/>
        <v>0</v>
      </c>
      <c r="O71" s="772">
        <f t="shared" ca="1" si="13"/>
        <v>0</v>
      </c>
      <c r="P71" s="773">
        <f t="shared" ca="1" si="13"/>
        <v>0</v>
      </c>
      <c r="Q71" s="625"/>
    </row>
    <row r="72" spans="2:22" ht="15.75" x14ac:dyDescent="0.25">
      <c r="B72" s="362" t="s">
        <v>455</v>
      </c>
      <c r="C72" s="774">
        <f t="shared" ref="C72:P72" ca="1" si="14">+C46+C71</f>
        <v>0</v>
      </c>
      <c r="D72" s="774">
        <f t="shared" ca="1" si="14"/>
        <v>0</v>
      </c>
      <c r="E72" s="774">
        <f t="shared" ca="1" si="14"/>
        <v>0</v>
      </c>
      <c r="F72" s="774">
        <f t="shared" ca="1" si="14"/>
        <v>0</v>
      </c>
      <c r="G72" s="774">
        <f t="shared" ca="1" si="14"/>
        <v>0</v>
      </c>
      <c r="H72" s="774">
        <f t="shared" ca="1" si="14"/>
        <v>0</v>
      </c>
      <c r="I72" s="774">
        <f t="shared" ca="1" si="14"/>
        <v>0</v>
      </c>
      <c r="J72" s="774">
        <f t="shared" ca="1" si="14"/>
        <v>0</v>
      </c>
      <c r="K72" s="774">
        <f t="shared" ca="1" si="14"/>
        <v>0</v>
      </c>
      <c r="L72" s="774">
        <f t="shared" ca="1" si="14"/>
        <v>0</v>
      </c>
      <c r="M72" s="774">
        <f t="shared" ca="1" si="14"/>
        <v>0</v>
      </c>
      <c r="N72" s="774">
        <f t="shared" ca="1" si="14"/>
        <v>0</v>
      </c>
      <c r="O72" s="775">
        <f t="shared" ca="1" si="14"/>
        <v>0</v>
      </c>
      <c r="P72" s="776">
        <f t="shared" ca="1" si="14"/>
        <v>0</v>
      </c>
      <c r="Q72" s="625"/>
      <c r="R72" s="42"/>
    </row>
    <row r="73" spans="2:22" ht="13.5" thickBot="1" x14ac:dyDescent="0.25">
      <c r="C73" s="625"/>
      <c r="D73" s="625"/>
      <c r="E73" s="625"/>
      <c r="F73" s="625"/>
      <c r="G73" s="625"/>
      <c r="H73" s="625"/>
      <c r="I73" s="625"/>
      <c r="J73" s="625"/>
      <c r="K73" s="625"/>
      <c r="L73" s="625"/>
      <c r="M73" s="625"/>
      <c r="N73" s="625"/>
      <c r="O73" s="625"/>
      <c r="P73" s="625"/>
      <c r="Q73" s="625"/>
    </row>
    <row r="74" spans="2:22" s="1234" customFormat="1" hidden="1" x14ac:dyDescent="0.2">
      <c r="B74" s="1234" t="s">
        <v>464</v>
      </c>
      <c r="C74" s="1235">
        <f>'Politica Cobr. Pagos'!E54</f>
        <v>0</v>
      </c>
      <c r="D74" s="1235">
        <f>'Politica Cobr. Pagos'!F54</f>
        <v>0</v>
      </c>
      <c r="E74" s="1235">
        <f>'Politica Cobr. Pagos'!G54</f>
        <v>0</v>
      </c>
      <c r="F74" s="1235">
        <f>'Politica Cobr. Pagos'!H54</f>
        <v>0</v>
      </c>
      <c r="G74" s="1235">
        <f>'Politica Cobr. Pagos'!I54</f>
        <v>0</v>
      </c>
      <c r="H74" s="1235">
        <f>'Politica Cobr. Pagos'!J54</f>
        <v>0</v>
      </c>
      <c r="I74" s="1235">
        <f>'Politica Cobr. Pagos'!K54</f>
        <v>0</v>
      </c>
      <c r="J74" s="1235">
        <f>'Politica Cobr. Pagos'!L54</f>
        <v>0</v>
      </c>
      <c r="K74" s="1235">
        <f>'Politica Cobr. Pagos'!M54</f>
        <v>0</v>
      </c>
      <c r="L74" s="1235">
        <f>'Politica Cobr. Pagos'!N54</f>
        <v>0</v>
      </c>
      <c r="M74" s="1235">
        <f>'Politica Cobr. Pagos'!O54</f>
        <v>0</v>
      </c>
      <c r="N74" s="1235">
        <f>'Politica Cobr. Pagos'!P54</f>
        <v>0</v>
      </c>
      <c r="O74" s="1235"/>
      <c r="P74" s="1235"/>
      <c r="Q74" s="1235"/>
      <c r="T74" s="1236"/>
    </row>
    <row r="75" spans="2:22" s="1234" customFormat="1" ht="13.5" hidden="1" thickBot="1" x14ac:dyDescent="0.25">
      <c r="B75" s="1234" t="s">
        <v>465</v>
      </c>
      <c r="C75" s="1235">
        <f>'Politica Cobr. Pagos'!E117</f>
        <v>0</v>
      </c>
      <c r="D75" s="1235">
        <f>'Politica Cobr. Pagos'!F117</f>
        <v>0</v>
      </c>
      <c r="E75" s="1235">
        <f>'Politica Cobr. Pagos'!G117</f>
        <v>0</v>
      </c>
      <c r="F75" s="1235">
        <f>'Politica Cobr. Pagos'!H117</f>
        <v>0</v>
      </c>
      <c r="G75" s="1235">
        <f>'Politica Cobr. Pagos'!I117</f>
        <v>0</v>
      </c>
      <c r="H75" s="1235">
        <f>'Politica Cobr. Pagos'!J117</f>
        <v>0</v>
      </c>
      <c r="I75" s="1235">
        <f>'Politica Cobr. Pagos'!K117</f>
        <v>0</v>
      </c>
      <c r="J75" s="1235">
        <f>'Politica Cobr. Pagos'!L117</f>
        <v>0</v>
      </c>
      <c r="K75" s="1235">
        <f>'Politica Cobr. Pagos'!M117</f>
        <v>0</v>
      </c>
      <c r="L75" s="1235">
        <f>'Politica Cobr. Pagos'!N117</f>
        <v>0</v>
      </c>
      <c r="M75" s="1235">
        <f>'Politica Cobr. Pagos'!O117</f>
        <v>0</v>
      </c>
      <c r="N75" s="1235">
        <f>'Politica Cobr. Pagos'!P117</f>
        <v>0</v>
      </c>
      <c r="O75" s="1235"/>
      <c r="P75" s="1235"/>
      <c r="Q75" s="1235"/>
      <c r="T75" s="1236"/>
    </row>
    <row r="76" spans="2:22" ht="13.5" thickBot="1" x14ac:dyDescent="0.25">
      <c r="B76" s="777" t="s">
        <v>466</v>
      </c>
      <c r="C76" s="351">
        <f ca="1">IF( 'Datos generales'!$D$22&gt;0,IF('Datos generales'!$O$10='Datos generales'!E1,-'PRESUPUESTO INICIAL INVER_FINAN'!$O$89+C74-C75-C64,C74-C75-C64-C65),0)</f>
        <v>0</v>
      </c>
      <c r="D76" s="351">
        <f ca="1">IF( 'Datos generales'!$D$22&gt;0,IF('Datos generales'!$O$10='Datos generales'!F1,-'PRESUPUESTO INICIAL INVER_FINAN'!$O$89+D74-D75-D64,D74-D75-D64+C76-D65),0)</f>
        <v>0</v>
      </c>
      <c r="E76" s="351">
        <f ca="1">IF( 'Datos generales'!$D$22&gt;0,IF('Datos generales'!$O$10='Datos generales'!G1,-'PRESUPUESTO INICIAL INVER_FINAN'!$O$89+E74-E75-E64,E74-E75-E64+D76-E65),0)</f>
        <v>0</v>
      </c>
      <c r="F76" s="351">
        <f ca="1">IF( 'Datos generales'!$D$22&gt;0,IF('Datos generales'!$O$10='Datos generales'!H1,-'PRESUPUESTO INICIAL INVER_FINAN'!$O$89+F74-F75-F64,F74-F75-F64+E76-F65),0)</f>
        <v>0</v>
      </c>
      <c r="G76" s="351">
        <f ca="1">IF( 'Datos generales'!$D$22&gt;0,IF('Datos generales'!$O$10='Datos generales'!I1,-'PRESUPUESTO INICIAL INVER_FINAN'!$O$89+G74-G75-G64,G74-G75-G64+F76-G65),0)</f>
        <v>0</v>
      </c>
      <c r="H76" s="351">
        <f ca="1">IF( 'Datos generales'!$D$22&gt;0,IF('Datos generales'!$O$10='Datos generales'!J1,-'PRESUPUESTO INICIAL INVER_FINAN'!$O$89+H74-H75-H64,H74-H75-H64+G76-H65),0)</f>
        <v>0</v>
      </c>
      <c r="I76" s="351">
        <f ca="1">IF( 'Datos generales'!$D$22&gt;0,IF('Datos generales'!$O$10='Datos generales'!K1,-'PRESUPUESTO INICIAL INVER_FINAN'!$O$89+I74-I75-I64,I74-I75-I64+H76-I65),0)</f>
        <v>0</v>
      </c>
      <c r="J76" s="351">
        <f ca="1">IF( 'Datos generales'!$D$22&gt;0,IF('Datos generales'!$O$10='Datos generales'!L1,-'PRESUPUESTO INICIAL INVER_FINAN'!$O$89+J74-J75-J64,J74-J75-J64+I76-J65),0)</f>
        <v>0</v>
      </c>
      <c r="K76" s="351">
        <f ca="1">IF( 'Datos generales'!$D$22&gt;0,IF('Datos generales'!$O$10='Datos generales'!M1,-'PRESUPUESTO INICIAL INVER_FINAN'!$O$89+K74-K75-K64,K74-K75-K64+J76-K65),0)</f>
        <v>0</v>
      </c>
      <c r="L76" s="351">
        <f ca="1">IF( 'Datos generales'!$D$22&gt;0,IF('Datos generales'!$O$10='Datos generales'!N1,-'PRESUPUESTO INICIAL INVER_FINAN'!$O$89+L74-L75-L64,L74-L75-L64+K76-L65),0)</f>
        <v>0</v>
      </c>
      <c r="M76" s="351">
        <f ca="1">IF( 'Datos generales'!$D$22&gt;0,IF('Datos generales'!$O$10='Datos generales'!O1,-'PRESUPUESTO INICIAL INVER_FINAN'!$O$89+M74-M75-M64,M74-M75-M64+L76-M65),0)</f>
        <v>0</v>
      </c>
      <c r="N76" s="351">
        <f ca="1">IF( 'Datos generales'!$D$22&gt;0,IF('Datos generales'!$O$10='Datos generales'!P1,-'PRESUPUESTO INICIAL INVER_FINAN'!$O$89+N74-N75-N64,N74-N75-N64+M76-N65),0)</f>
        <v>0</v>
      </c>
      <c r="O76" s="357">
        <f ca="1">IF( 'Datos generales'!$D$22&gt;0,IF('Datos generales'!$O$10='Datos generales'!Q1,-'PRESUPUESTO INICIAL INVER_FINAN'!$O$89+O74-O75-O64,O74-O75-O64+N76-O65),0)</f>
        <v>0</v>
      </c>
      <c r="P76" s="42"/>
      <c r="Q76" s="42"/>
      <c r="R76" s="42"/>
      <c r="S76" s="42"/>
      <c r="U76" s="42"/>
      <c r="V76" s="42"/>
    </row>
    <row r="77" spans="2:22" x14ac:dyDescent="0.2">
      <c r="B77" s="7" t="s">
        <v>467</v>
      </c>
      <c r="C77" s="104">
        <v>38737</v>
      </c>
      <c r="D77" s="625"/>
      <c r="E77" s="625"/>
      <c r="F77" s="104">
        <v>38827</v>
      </c>
      <c r="G77" s="625"/>
      <c r="H77" s="625"/>
      <c r="I77" s="104">
        <v>38918</v>
      </c>
      <c r="J77" s="625"/>
      <c r="K77" s="625"/>
      <c r="L77" s="104">
        <v>39010</v>
      </c>
      <c r="M77" s="625"/>
      <c r="N77" s="104">
        <v>39071</v>
      </c>
      <c r="O77" s="625"/>
      <c r="P77" s="625"/>
      <c r="Q77" s="625"/>
    </row>
    <row r="78" spans="2:22" x14ac:dyDescent="0.2">
      <c r="C78" s="625"/>
      <c r="D78" s="625"/>
      <c r="E78" s="625"/>
      <c r="F78" s="625"/>
      <c r="G78" s="625"/>
      <c r="H78" s="625"/>
      <c r="I78" s="625"/>
      <c r="J78" s="625"/>
      <c r="K78" s="625"/>
      <c r="L78" s="625"/>
      <c r="M78" s="625"/>
      <c r="N78" s="625"/>
      <c r="O78" s="625"/>
      <c r="P78" s="625"/>
      <c r="Q78" s="625"/>
    </row>
    <row r="79" spans="2:22" x14ac:dyDescent="0.2">
      <c r="C79" s="625"/>
      <c r="D79" s="625"/>
      <c r="E79" s="625"/>
      <c r="F79" s="625"/>
      <c r="G79" s="625"/>
      <c r="H79" s="625"/>
      <c r="I79" s="625"/>
      <c r="J79" s="625"/>
      <c r="K79" s="625"/>
      <c r="L79" s="625"/>
      <c r="M79" s="625"/>
      <c r="N79" s="625"/>
      <c r="O79" s="625"/>
      <c r="P79" s="625"/>
      <c r="Q79" s="625"/>
    </row>
    <row r="80" spans="2:22" ht="15.75" x14ac:dyDescent="0.25">
      <c r="B80" s="138" t="s">
        <v>468</v>
      </c>
      <c r="C80" s="625"/>
      <c r="D80" s="625"/>
      <c r="E80" s="625"/>
      <c r="F80" s="677"/>
      <c r="G80" s="625"/>
      <c r="H80" s="625"/>
      <c r="I80" s="625"/>
      <c r="J80" s="625"/>
      <c r="K80" s="625"/>
      <c r="L80" s="625"/>
      <c r="M80" s="625"/>
      <c r="N80" s="625"/>
      <c r="O80" s="625"/>
      <c r="P80" s="625"/>
      <c r="Q80" s="625"/>
    </row>
    <row r="81" spans="2:17" x14ac:dyDescent="0.2">
      <c r="B81" s="84" t="s">
        <v>170</v>
      </c>
      <c r="C81" s="753" t="s">
        <v>296</v>
      </c>
      <c r="D81" s="753" t="s">
        <v>297</v>
      </c>
      <c r="E81" s="753" t="s">
        <v>298</v>
      </c>
      <c r="F81" s="753" t="s">
        <v>120</v>
      </c>
      <c r="G81" s="753" t="s">
        <v>121</v>
      </c>
      <c r="H81" s="753" t="s">
        <v>122</v>
      </c>
      <c r="I81" s="753" t="s">
        <v>123</v>
      </c>
      <c r="J81" s="753" t="s">
        <v>299</v>
      </c>
      <c r="K81" s="753" t="s">
        <v>300</v>
      </c>
      <c r="L81" s="753" t="s">
        <v>301</v>
      </c>
      <c r="M81" s="753" t="s">
        <v>302</v>
      </c>
      <c r="N81" s="753" t="s">
        <v>303</v>
      </c>
      <c r="O81" s="754" t="s">
        <v>460</v>
      </c>
      <c r="P81" s="755" t="s">
        <v>129</v>
      </c>
      <c r="Q81" s="625"/>
    </row>
    <row r="82" spans="2:17" ht="15.75" x14ac:dyDescent="0.25">
      <c r="B82" s="358" t="s">
        <v>434</v>
      </c>
      <c r="C82" s="756">
        <f ca="1">P72</f>
        <v>0</v>
      </c>
      <c r="D82" s="756">
        <f ca="1">+C108</f>
        <v>0</v>
      </c>
      <c r="E82" s="756">
        <f t="shared" ref="E82:O82" ca="1" si="15">+D108</f>
        <v>0</v>
      </c>
      <c r="F82" s="756">
        <f t="shared" ca="1" si="15"/>
        <v>0</v>
      </c>
      <c r="G82" s="756">
        <f t="shared" ca="1" si="15"/>
        <v>0</v>
      </c>
      <c r="H82" s="756">
        <f t="shared" ca="1" si="15"/>
        <v>0</v>
      </c>
      <c r="I82" s="756">
        <f t="shared" ca="1" si="15"/>
        <v>0</v>
      </c>
      <c r="J82" s="756">
        <f t="shared" ca="1" si="15"/>
        <v>0</v>
      </c>
      <c r="K82" s="756">
        <f t="shared" ca="1" si="15"/>
        <v>0</v>
      </c>
      <c r="L82" s="756">
        <f t="shared" ca="1" si="15"/>
        <v>0</v>
      </c>
      <c r="M82" s="756">
        <f t="shared" ca="1" si="15"/>
        <v>0</v>
      </c>
      <c r="N82" s="756">
        <f t="shared" ca="1" si="15"/>
        <v>0</v>
      </c>
      <c r="O82" s="757">
        <f t="shared" ca="1" si="15"/>
        <v>0</v>
      </c>
      <c r="P82" s="758">
        <f ca="1">P72</f>
        <v>0</v>
      </c>
      <c r="Q82" s="625"/>
    </row>
    <row r="83" spans="2:17" x14ac:dyDescent="0.2">
      <c r="B83" s="354" t="s">
        <v>435</v>
      </c>
      <c r="C83" s="760"/>
      <c r="D83" s="760"/>
      <c r="E83" s="760"/>
      <c r="F83" s="760"/>
      <c r="G83" s="760"/>
      <c r="H83" s="760"/>
      <c r="I83" s="760"/>
      <c r="J83" s="760"/>
      <c r="K83" s="760"/>
      <c r="L83" s="760"/>
      <c r="M83" s="760"/>
      <c r="N83" s="760"/>
      <c r="O83" s="749">
        <f>'Entrada Inver_Finan'!F104</f>
        <v>0</v>
      </c>
      <c r="P83" s="750">
        <f>SUM(C83:O83)</f>
        <v>0</v>
      </c>
      <c r="Q83" s="625"/>
    </row>
    <row r="84" spans="2:17" x14ac:dyDescent="0.2">
      <c r="B84" s="346" t="s">
        <v>461</v>
      </c>
      <c r="C84" s="761">
        <f ca="1">'Politica Cobr. Pagos'!E85</f>
        <v>0</v>
      </c>
      <c r="D84" s="761">
        <f ca="1">'Politica Cobr. Pagos'!F85</f>
        <v>0</v>
      </c>
      <c r="E84" s="761">
        <f ca="1">'Politica Cobr. Pagos'!G85</f>
        <v>0</v>
      </c>
      <c r="F84" s="761">
        <f ca="1">'Politica Cobr. Pagos'!H85</f>
        <v>0</v>
      </c>
      <c r="G84" s="761">
        <f ca="1">'Politica Cobr. Pagos'!I85</f>
        <v>0</v>
      </c>
      <c r="H84" s="761">
        <f ca="1">'Politica Cobr. Pagos'!J85</f>
        <v>0</v>
      </c>
      <c r="I84" s="761">
        <f ca="1">'Politica Cobr. Pagos'!K85</f>
        <v>0</v>
      </c>
      <c r="J84" s="761">
        <f ca="1">'Politica Cobr. Pagos'!L85</f>
        <v>0</v>
      </c>
      <c r="K84" s="761">
        <f ca="1">'Politica Cobr. Pagos'!M85</f>
        <v>0</v>
      </c>
      <c r="L84" s="761">
        <f ca="1">'Politica Cobr. Pagos'!N85</f>
        <v>0</v>
      </c>
      <c r="M84" s="761">
        <f ca="1">'Politica Cobr. Pagos'!O85</f>
        <v>0</v>
      </c>
      <c r="N84" s="761">
        <f ca="1">'Politica Cobr. Pagos'!P85</f>
        <v>0</v>
      </c>
      <c r="O84" s="744"/>
      <c r="P84" s="670">
        <f t="shared" ref="P84:P104" ca="1" si="16">SUM(C84:O84)</f>
        <v>0</v>
      </c>
      <c r="Q84" s="625"/>
    </row>
    <row r="85" spans="2:17" x14ac:dyDescent="0.2">
      <c r="B85" s="346" t="s">
        <v>437</v>
      </c>
      <c r="C85" s="808">
        <f ca="1">OFFSET('Préstamos LP'!$C$47,D1,0,1,1)+OFFSET('Otra financiación'!$G$45,D1,0,1,1)</f>
        <v>0</v>
      </c>
      <c r="D85" s="808">
        <f ca="1">OFFSET('Préstamos LP'!$C$47,E1,0,1,1)+OFFSET('Otra financiación'!$G$45,E1,0,1,1)</f>
        <v>0</v>
      </c>
      <c r="E85" s="808">
        <f ca="1">OFFSET('Préstamos LP'!$C$47,F1,0,1,1)+OFFSET('Otra financiación'!$G$45,F1,0,1,1)</f>
        <v>0</v>
      </c>
      <c r="F85" s="808">
        <f ca="1">OFFSET('Préstamos LP'!$C$47,G1,0,1,1)+OFFSET('Otra financiación'!$G$45,G1,0,1,1)</f>
        <v>0</v>
      </c>
      <c r="G85" s="808">
        <f ca="1">OFFSET('Préstamos LP'!$C$47,H1,0,1,1)+OFFSET('Otra financiación'!$G$45,H1,0,1,1)</f>
        <v>0</v>
      </c>
      <c r="H85" s="808">
        <f ca="1">OFFSET('Préstamos LP'!$C$47,I1,0,1,1)+OFFSET('Otra financiación'!$G$45,I1,0,1,1)</f>
        <v>0</v>
      </c>
      <c r="I85" s="808">
        <f ca="1">OFFSET('Préstamos LP'!$C$47,J1,0,1,1)+OFFSET('Otra financiación'!$G$45,J1,0,1,1)</f>
        <v>0</v>
      </c>
      <c r="J85" s="808">
        <f ca="1">OFFSET('Préstamos LP'!$C$47,K1,0,1,1)+OFFSET('Otra financiación'!$G$45,K1,0,1,1)</f>
        <v>0</v>
      </c>
      <c r="K85" s="808">
        <f ca="1">OFFSET('Préstamos LP'!$C$47,L1,0,1,1)+OFFSET('Otra financiación'!$G$45,L1,0,1,1)</f>
        <v>0</v>
      </c>
      <c r="L85" s="808">
        <f ca="1">OFFSET('Préstamos LP'!$C$47,M1,0,1,1)+OFFSET('Otra financiación'!$G$45,M1,0,1,1)</f>
        <v>0</v>
      </c>
      <c r="M85" s="808">
        <f ca="1">OFFSET('Préstamos LP'!$C$47,N1,0,1,1)+OFFSET('Otra financiación'!$G$45,N1,0,1,1)</f>
        <v>0</v>
      </c>
      <c r="N85" s="808">
        <f ca="1">OFFSET('Préstamos LP'!$C$47,O1,0,1,1)+OFFSET('Otra financiación'!$G$45,O1,0,1,1)</f>
        <v>0</v>
      </c>
      <c r="O85" s="744"/>
      <c r="P85" s="670">
        <f t="shared" ca="1" si="16"/>
        <v>0</v>
      </c>
      <c r="Q85" s="625"/>
    </row>
    <row r="86" spans="2:17" x14ac:dyDescent="0.2">
      <c r="B86" s="346" t="s">
        <v>438</v>
      </c>
      <c r="C86" s="761">
        <f ca="1">OFFSET('Préstamos CP'!$C$36,D1,0,1,1)</f>
        <v>0</v>
      </c>
      <c r="D86" s="761">
        <f ca="1">OFFSET('Préstamos CP'!$C$36,E1,0,1,1)</f>
        <v>0</v>
      </c>
      <c r="E86" s="761">
        <f ca="1">OFFSET('Préstamos CP'!$C$36,F1,0,1,1)</f>
        <v>0</v>
      </c>
      <c r="F86" s="761">
        <f ca="1">OFFSET('Préstamos CP'!$C$36,G1,0,1,1)</f>
        <v>0</v>
      </c>
      <c r="G86" s="761">
        <f ca="1">OFFSET('Préstamos CP'!$C$36,H1,0,1,1)</f>
        <v>0</v>
      </c>
      <c r="H86" s="761">
        <f ca="1">OFFSET('Préstamos CP'!$C$36,I1,0,1,1)</f>
        <v>0</v>
      </c>
      <c r="I86" s="761">
        <f ca="1">OFFSET('Préstamos CP'!$C$36,J1,0,1,1)</f>
        <v>0</v>
      </c>
      <c r="J86" s="761">
        <f ca="1">OFFSET('Préstamos CP'!$C$36,K1,0,1,1)</f>
        <v>0</v>
      </c>
      <c r="K86" s="761">
        <f ca="1">OFFSET('Préstamos CP'!$C$36,L1,0,1,1)</f>
        <v>0</v>
      </c>
      <c r="L86" s="761">
        <f ca="1">OFFSET('Préstamos CP'!$C$36,M1,0,1,1)</f>
        <v>0</v>
      </c>
      <c r="M86" s="761">
        <f ca="1">OFFSET('Préstamos CP'!$C$36,N1,0,1,1)</f>
        <v>0</v>
      </c>
      <c r="N86" s="761">
        <f ca="1">OFFSET('Préstamos CP'!$C$36,O1,0,1,1)</f>
        <v>0</v>
      </c>
      <c r="O86" s="744"/>
      <c r="P86" s="670">
        <f t="shared" ca="1" si="16"/>
        <v>0</v>
      </c>
      <c r="Q86" s="625"/>
    </row>
    <row r="87" spans="2:17" x14ac:dyDescent="0.2">
      <c r="B87" s="355" t="s">
        <v>335</v>
      </c>
      <c r="C87" s="762">
        <f>'CUENTA DE RESULTADOS'!D194</f>
        <v>0</v>
      </c>
      <c r="D87" s="762">
        <f>'CUENTA DE RESULTADOS'!E194</f>
        <v>0</v>
      </c>
      <c r="E87" s="762">
        <f>'CUENTA DE RESULTADOS'!F194</f>
        <v>0</v>
      </c>
      <c r="F87" s="762">
        <f>'CUENTA DE RESULTADOS'!G194</f>
        <v>0</v>
      </c>
      <c r="G87" s="762">
        <f>'CUENTA DE RESULTADOS'!H194</f>
        <v>0</v>
      </c>
      <c r="H87" s="762">
        <f>'CUENTA DE RESULTADOS'!I194</f>
        <v>0</v>
      </c>
      <c r="I87" s="762">
        <f>'CUENTA DE RESULTADOS'!J194</f>
        <v>0</v>
      </c>
      <c r="J87" s="762">
        <f>'CUENTA DE RESULTADOS'!K194</f>
        <v>0</v>
      </c>
      <c r="K87" s="762">
        <f>'CUENTA DE RESULTADOS'!L194</f>
        <v>0</v>
      </c>
      <c r="L87" s="762">
        <f>'CUENTA DE RESULTADOS'!M194</f>
        <v>0</v>
      </c>
      <c r="M87" s="762">
        <f>'CUENTA DE RESULTADOS'!N194</f>
        <v>0</v>
      </c>
      <c r="N87" s="762">
        <f>'CUENTA DE RESULTADOS'!O194</f>
        <v>0</v>
      </c>
      <c r="O87" s="745"/>
      <c r="P87" s="763">
        <f t="shared" si="16"/>
        <v>0</v>
      </c>
      <c r="Q87" s="625"/>
    </row>
    <row r="88" spans="2:17" ht="15.75" x14ac:dyDescent="0.25">
      <c r="B88" s="359" t="s">
        <v>439</v>
      </c>
      <c r="C88" s="764">
        <f t="shared" ref="C88:N88" ca="1" si="17">SUM(C83:C87)</f>
        <v>0</v>
      </c>
      <c r="D88" s="764">
        <f t="shared" ca="1" si="17"/>
        <v>0</v>
      </c>
      <c r="E88" s="764">
        <f t="shared" ca="1" si="17"/>
        <v>0</v>
      </c>
      <c r="F88" s="764">
        <f t="shared" ca="1" si="17"/>
        <v>0</v>
      </c>
      <c r="G88" s="764">
        <f t="shared" ca="1" si="17"/>
        <v>0</v>
      </c>
      <c r="H88" s="764">
        <f t="shared" ca="1" si="17"/>
        <v>0</v>
      </c>
      <c r="I88" s="764">
        <f t="shared" ca="1" si="17"/>
        <v>0</v>
      </c>
      <c r="J88" s="764">
        <f t="shared" ca="1" si="17"/>
        <v>0</v>
      </c>
      <c r="K88" s="764">
        <f t="shared" ca="1" si="17"/>
        <v>0</v>
      </c>
      <c r="L88" s="764">
        <f t="shared" ca="1" si="17"/>
        <v>0</v>
      </c>
      <c r="M88" s="764">
        <f t="shared" ca="1" si="17"/>
        <v>0</v>
      </c>
      <c r="N88" s="764">
        <f t="shared" ca="1" si="17"/>
        <v>0</v>
      </c>
      <c r="O88" s="747"/>
      <c r="P88" s="765">
        <f ca="1">SUM(P83:P87)</f>
        <v>0</v>
      </c>
      <c r="Q88" s="625"/>
    </row>
    <row r="89" spans="2:17" x14ac:dyDescent="0.2">
      <c r="B89" s="354" t="s">
        <v>440</v>
      </c>
      <c r="C89" s="760">
        <f ca="1">'Politica Cobr. Pagos'!E149+'Politica Cobr. Pagos'!E150+'Margen B'!C201</f>
        <v>0</v>
      </c>
      <c r="D89" s="760">
        <f ca="1">'Politica Cobr. Pagos'!F149+'Politica Cobr. Pagos'!F150+'Margen B'!D201</f>
        <v>0</v>
      </c>
      <c r="E89" s="760">
        <f ca="1">'Politica Cobr. Pagos'!G149+'Politica Cobr. Pagos'!G150+'Margen B'!E201</f>
        <v>0</v>
      </c>
      <c r="F89" s="760">
        <f ca="1">'Politica Cobr. Pagos'!H149+'Politica Cobr. Pagos'!H150+'Margen B'!F201</f>
        <v>0</v>
      </c>
      <c r="G89" s="760">
        <f ca="1">'Politica Cobr. Pagos'!I149+'Politica Cobr. Pagos'!I150+'Margen B'!G201</f>
        <v>0</v>
      </c>
      <c r="H89" s="760">
        <f ca="1">'Politica Cobr. Pagos'!J149+'Politica Cobr. Pagos'!J150+'Margen B'!H201</f>
        <v>0</v>
      </c>
      <c r="I89" s="760">
        <f ca="1">'Politica Cobr. Pagos'!K149+'Politica Cobr. Pagos'!K150+'Margen B'!I201</f>
        <v>0</v>
      </c>
      <c r="J89" s="760">
        <f ca="1">'Politica Cobr. Pagos'!L149+'Politica Cobr. Pagos'!L150+'Margen B'!J201</f>
        <v>0</v>
      </c>
      <c r="K89" s="760">
        <f ca="1">'Politica Cobr. Pagos'!M149+'Politica Cobr. Pagos'!M150+'Margen B'!K201</f>
        <v>0</v>
      </c>
      <c r="L89" s="760">
        <f ca="1">'Politica Cobr. Pagos'!N149+'Politica Cobr. Pagos'!N150+'Margen B'!L201</f>
        <v>0</v>
      </c>
      <c r="M89" s="760">
        <f ca="1">'Politica Cobr. Pagos'!O149+'Politica Cobr. Pagos'!O150+'Margen B'!M201</f>
        <v>0</v>
      </c>
      <c r="N89" s="760">
        <f ca="1">'Politica Cobr. Pagos'!P149+'Politica Cobr. Pagos'!P150+'Margen B'!N201</f>
        <v>0</v>
      </c>
      <c r="O89" s="749"/>
      <c r="P89" s="750">
        <f t="shared" ca="1" si="16"/>
        <v>0</v>
      </c>
      <c r="Q89" s="625"/>
    </row>
    <row r="90" spans="2:17" ht="25.5" x14ac:dyDescent="0.2">
      <c r="B90" s="993" t="str">
        <f>B17</f>
        <v>Pago de otros costes directos imputables a los productos o servicios</v>
      </c>
      <c r="C90" s="761">
        <f>'Margen B'!D174</f>
        <v>0</v>
      </c>
      <c r="D90" s="761">
        <f>'Margen B'!E174</f>
        <v>0</v>
      </c>
      <c r="E90" s="761">
        <f>'Margen B'!F174</f>
        <v>0</v>
      </c>
      <c r="F90" s="761">
        <f>'Margen B'!G174</f>
        <v>0</v>
      </c>
      <c r="G90" s="761">
        <f>'Margen B'!H174</f>
        <v>0</v>
      </c>
      <c r="H90" s="761">
        <f>'Margen B'!I174</f>
        <v>0</v>
      </c>
      <c r="I90" s="761">
        <f>'Margen B'!J174</f>
        <v>0</v>
      </c>
      <c r="J90" s="761">
        <f>'Margen B'!K174</f>
        <v>0</v>
      </c>
      <c r="K90" s="761">
        <f>'Margen B'!L174</f>
        <v>0</v>
      </c>
      <c r="L90" s="761">
        <f>'Margen B'!M174</f>
        <v>0</v>
      </c>
      <c r="M90" s="761">
        <f>'Margen B'!N174</f>
        <v>0</v>
      </c>
      <c r="N90" s="761">
        <f>'Margen B'!O174</f>
        <v>0</v>
      </c>
      <c r="O90" s="744"/>
      <c r="P90" s="670">
        <f t="shared" si="16"/>
        <v>0</v>
      </c>
      <c r="Q90" s="625"/>
    </row>
    <row r="91" spans="2:17" ht="25.5" x14ac:dyDescent="0.2">
      <c r="B91" s="993" t="str">
        <f>B18</f>
        <v>Pago de otros costes proporcionales comunes a todos los productos/servicios</v>
      </c>
      <c r="C91" s="761">
        <f>'Margen B'!D184</f>
        <v>0</v>
      </c>
      <c r="D91" s="761">
        <f>'Margen B'!E184</f>
        <v>0</v>
      </c>
      <c r="E91" s="761">
        <f>'Margen B'!F184</f>
        <v>0</v>
      </c>
      <c r="F91" s="761">
        <f>'Margen B'!G184</f>
        <v>0</v>
      </c>
      <c r="G91" s="761">
        <f>'Margen B'!H184</f>
        <v>0</v>
      </c>
      <c r="H91" s="761">
        <f>'Margen B'!I184</f>
        <v>0</v>
      </c>
      <c r="I91" s="761">
        <f>'Margen B'!J184</f>
        <v>0</v>
      </c>
      <c r="J91" s="761">
        <f>'Margen B'!K184</f>
        <v>0</v>
      </c>
      <c r="K91" s="761">
        <f>'Margen B'!L184</f>
        <v>0</v>
      </c>
      <c r="L91" s="761">
        <f>'Margen B'!M184</f>
        <v>0</v>
      </c>
      <c r="M91" s="761">
        <f>'Margen B'!N184</f>
        <v>0</v>
      </c>
      <c r="N91" s="761">
        <f>'Margen B'!O184</f>
        <v>0</v>
      </c>
      <c r="O91" s="744"/>
      <c r="P91" s="670">
        <f>SUM(C91:O91)</f>
        <v>0</v>
      </c>
      <c r="Q91" s="625"/>
    </row>
    <row r="92" spans="2:17" x14ac:dyDescent="0.2">
      <c r="B92" s="346" t="str">
        <f t="shared" ref="B92:B99" si="18">B56</f>
        <v>Total Gastos de personal</v>
      </c>
      <c r="C92" s="761">
        <f>'CUENTA DE RESULTADOS'!D152</f>
        <v>0</v>
      </c>
      <c r="D92" s="761">
        <f>'CUENTA DE RESULTADOS'!E152</f>
        <v>0</v>
      </c>
      <c r="E92" s="761">
        <f>'CUENTA DE RESULTADOS'!F152</f>
        <v>0</v>
      </c>
      <c r="F92" s="761">
        <f>'CUENTA DE RESULTADOS'!G152</f>
        <v>0</v>
      </c>
      <c r="G92" s="761">
        <f>'CUENTA DE RESULTADOS'!H152</f>
        <v>0</v>
      </c>
      <c r="H92" s="761">
        <f>'CUENTA DE RESULTADOS'!I152</f>
        <v>0</v>
      </c>
      <c r="I92" s="761">
        <f>'CUENTA DE RESULTADOS'!J152</f>
        <v>0</v>
      </c>
      <c r="J92" s="761">
        <f>'CUENTA DE RESULTADOS'!K152</f>
        <v>0</v>
      </c>
      <c r="K92" s="761">
        <f>'CUENTA DE RESULTADOS'!L152</f>
        <v>0</v>
      </c>
      <c r="L92" s="761">
        <f>'CUENTA DE RESULTADOS'!M152</f>
        <v>0</v>
      </c>
      <c r="M92" s="761">
        <f>'CUENTA DE RESULTADOS'!N152</f>
        <v>0</v>
      </c>
      <c r="N92" s="761">
        <f>'CUENTA DE RESULTADOS'!O152</f>
        <v>0</v>
      </c>
      <c r="O92" s="744"/>
      <c r="P92" s="670">
        <f t="shared" si="16"/>
        <v>0</v>
      </c>
      <c r="Q92" s="625"/>
    </row>
    <row r="93" spans="2:17" x14ac:dyDescent="0.2">
      <c r="B93" s="346" t="str">
        <f t="shared" si="18"/>
        <v>Total Gastos financieros</v>
      </c>
      <c r="C93" s="671">
        <f ca="1">'CUENTA DE RESULTADOS'!D201</f>
        <v>0</v>
      </c>
      <c r="D93" s="671">
        <f ca="1">'CUENTA DE RESULTADOS'!E201</f>
        <v>0</v>
      </c>
      <c r="E93" s="671">
        <f ca="1">'CUENTA DE RESULTADOS'!F201</f>
        <v>0</v>
      </c>
      <c r="F93" s="671">
        <f ca="1">'CUENTA DE RESULTADOS'!G201</f>
        <v>0</v>
      </c>
      <c r="G93" s="671">
        <f ca="1">'CUENTA DE RESULTADOS'!H201</f>
        <v>0</v>
      </c>
      <c r="H93" s="671">
        <f ca="1">'CUENTA DE RESULTADOS'!I201</f>
        <v>0</v>
      </c>
      <c r="I93" s="671">
        <f ca="1">'CUENTA DE RESULTADOS'!J201</f>
        <v>0</v>
      </c>
      <c r="J93" s="671">
        <f ca="1">'CUENTA DE RESULTADOS'!K201</f>
        <v>0</v>
      </c>
      <c r="K93" s="671">
        <f ca="1">'CUENTA DE RESULTADOS'!L201</f>
        <v>0</v>
      </c>
      <c r="L93" s="671">
        <f ca="1">'CUENTA DE RESULTADOS'!M201</f>
        <v>0</v>
      </c>
      <c r="M93" s="671">
        <f ca="1">'CUENTA DE RESULTADOS'!N201</f>
        <v>0</v>
      </c>
      <c r="N93" s="671">
        <f ca="1">'CUENTA DE RESULTADOS'!O201</f>
        <v>0</v>
      </c>
      <c r="O93" s="744"/>
      <c r="P93" s="670">
        <f t="shared" ca="1" si="16"/>
        <v>0</v>
      </c>
      <c r="Q93" s="625"/>
    </row>
    <row r="94" spans="2:17" x14ac:dyDescent="0.2">
      <c r="B94" s="346" t="str">
        <f t="shared" si="18"/>
        <v>Total Gastos comerciales</v>
      </c>
      <c r="C94" s="671">
        <f>'CUENTA DE RESULTADOS'!D166</f>
        <v>0</v>
      </c>
      <c r="D94" s="671">
        <f>'CUENTA DE RESULTADOS'!E166</f>
        <v>0</v>
      </c>
      <c r="E94" s="671">
        <f>'CUENTA DE RESULTADOS'!F166</f>
        <v>0</v>
      </c>
      <c r="F94" s="671">
        <f>'CUENTA DE RESULTADOS'!G166</f>
        <v>0</v>
      </c>
      <c r="G94" s="671">
        <f>'CUENTA DE RESULTADOS'!H166</f>
        <v>0</v>
      </c>
      <c r="H94" s="671">
        <f>'CUENTA DE RESULTADOS'!I166</f>
        <v>0</v>
      </c>
      <c r="I94" s="671">
        <f>'CUENTA DE RESULTADOS'!J166</f>
        <v>0</v>
      </c>
      <c r="J94" s="671">
        <f>'CUENTA DE RESULTADOS'!K166</f>
        <v>0</v>
      </c>
      <c r="K94" s="671">
        <f>'CUENTA DE RESULTADOS'!L166</f>
        <v>0</v>
      </c>
      <c r="L94" s="671">
        <f>'CUENTA DE RESULTADOS'!M166</f>
        <v>0</v>
      </c>
      <c r="M94" s="671">
        <f>'CUENTA DE RESULTADOS'!N166</f>
        <v>0</v>
      </c>
      <c r="N94" s="671">
        <f>'CUENTA DE RESULTADOS'!O166</f>
        <v>0</v>
      </c>
      <c r="O94" s="744"/>
      <c r="P94" s="670">
        <f t="shared" si="16"/>
        <v>0</v>
      </c>
      <c r="Q94" s="625"/>
    </row>
    <row r="95" spans="2:17" x14ac:dyDescent="0.2">
      <c r="B95" s="346" t="str">
        <f t="shared" si="18"/>
        <v>Total Otros gastos (Servicios exteriores)</v>
      </c>
      <c r="C95" s="671">
        <f>'CUENTA DE RESULTADOS'!D180</f>
        <v>0</v>
      </c>
      <c r="D95" s="671">
        <f>'CUENTA DE RESULTADOS'!E180</f>
        <v>0</v>
      </c>
      <c r="E95" s="671">
        <f>'CUENTA DE RESULTADOS'!F180</f>
        <v>0</v>
      </c>
      <c r="F95" s="671">
        <f>'CUENTA DE RESULTADOS'!G180</f>
        <v>0</v>
      </c>
      <c r="G95" s="671">
        <f>'CUENTA DE RESULTADOS'!H180</f>
        <v>0</v>
      </c>
      <c r="H95" s="671">
        <f>'CUENTA DE RESULTADOS'!I180</f>
        <v>0</v>
      </c>
      <c r="I95" s="671">
        <f>'CUENTA DE RESULTADOS'!J180</f>
        <v>0</v>
      </c>
      <c r="J95" s="671">
        <f>'CUENTA DE RESULTADOS'!K180</f>
        <v>0</v>
      </c>
      <c r="K95" s="671">
        <f>'CUENTA DE RESULTADOS'!L180</f>
        <v>0</v>
      </c>
      <c r="L95" s="671">
        <f>'CUENTA DE RESULTADOS'!M180</f>
        <v>0</v>
      </c>
      <c r="M95" s="671">
        <f>'CUENTA DE RESULTADOS'!N180</f>
        <v>0</v>
      </c>
      <c r="N95" s="671">
        <f>'CUENTA DE RESULTADOS'!O180</f>
        <v>0</v>
      </c>
      <c r="O95" s="744"/>
      <c r="P95" s="670">
        <f t="shared" si="16"/>
        <v>0</v>
      </c>
      <c r="Q95" s="625"/>
    </row>
    <row r="96" spans="2:17" x14ac:dyDescent="0.2">
      <c r="B96" s="346" t="str">
        <f t="shared" si="18"/>
        <v>Devolución de préstamos financieros</v>
      </c>
      <c r="C96" s="671">
        <f ca="1">OFFSET('Préstamos LP'!$F$47,D1,0,1,1)+OFFSET('Préstamos CP'!$E$36,D1,0,1,1)</f>
        <v>0</v>
      </c>
      <c r="D96" s="671">
        <f ca="1">OFFSET('Préstamos LP'!$F$47,E1,0,1,1)+OFFSET('Préstamos CP'!$E$36,E1,0,1,1)</f>
        <v>0</v>
      </c>
      <c r="E96" s="671">
        <f ca="1">OFFSET('Préstamos LP'!$F$47,F1,0,1,1)+OFFSET('Préstamos CP'!$E$36,F1,0,1,1)</f>
        <v>0</v>
      </c>
      <c r="F96" s="671">
        <f ca="1">OFFSET('Préstamos LP'!$F$47,G1,0,1,1)+OFFSET('Préstamos CP'!$E$36,G1,0,1,1)</f>
        <v>0</v>
      </c>
      <c r="G96" s="671">
        <f ca="1">OFFSET('Préstamos LP'!$F$47,H1,0,1,1)+OFFSET('Préstamos CP'!$E$36,H1,0,1,1)</f>
        <v>0</v>
      </c>
      <c r="H96" s="671">
        <f ca="1">OFFSET('Préstamos LP'!$F$47,I1,0,1,1)+OFFSET('Préstamos CP'!$E$36,I1,0,1,1)</f>
        <v>0</v>
      </c>
      <c r="I96" s="671">
        <f ca="1">OFFSET('Préstamos LP'!$F$47,J1,0,1,1)+OFFSET('Préstamos CP'!$E$36,J1,0,1,1)</f>
        <v>0</v>
      </c>
      <c r="J96" s="671">
        <f ca="1">OFFSET('Préstamos LP'!$F$47,K1,0,1,1)+OFFSET('Préstamos CP'!$E$36,K1,0,1,1)</f>
        <v>0</v>
      </c>
      <c r="K96" s="671">
        <f ca="1">OFFSET('Préstamos LP'!$F$47,L1,0,1,1)+OFFSET('Préstamos CP'!$E$36,L1,0,1,1)</f>
        <v>0</v>
      </c>
      <c r="L96" s="671">
        <f ca="1">OFFSET('Préstamos LP'!$F$47,M1,0,1,1)+OFFSET('Préstamos CP'!$E$36,M1,0,1,1)</f>
        <v>0</v>
      </c>
      <c r="M96" s="671">
        <f ca="1">OFFSET('Préstamos LP'!$F$47,N1,0,1,1)+OFFSET('Préstamos CP'!$E$36,N1,0,1,1)</f>
        <v>0</v>
      </c>
      <c r="N96" s="671">
        <f ca="1">OFFSET('Préstamos LP'!$F$47,O1,0,1,1)+OFFSET('Préstamos CP'!$E$36,O1,0,1,1)</f>
        <v>0</v>
      </c>
      <c r="O96" s="744"/>
      <c r="P96" s="670">
        <f t="shared" ca="1" si="16"/>
        <v>0</v>
      </c>
      <c r="Q96" s="625"/>
    </row>
    <row r="97" spans="2:18" x14ac:dyDescent="0.2">
      <c r="B97" s="346" t="str">
        <f t="shared" si="18"/>
        <v>Amortización de los arrendamientos financieros</v>
      </c>
      <c r="C97" s="671">
        <f ca="1">OFFSET('Préstamos LP'!$W$47,D1,0,1,1)</f>
        <v>0</v>
      </c>
      <c r="D97" s="671">
        <f ca="1">OFFSET('Préstamos LP'!$W$47,E1,0,1,1)</f>
        <v>0</v>
      </c>
      <c r="E97" s="671">
        <f ca="1">OFFSET('Préstamos LP'!$W$47,F1,0,1,1)</f>
        <v>0</v>
      </c>
      <c r="F97" s="671">
        <f ca="1">OFFSET('Préstamos LP'!$W$47,G1,0,1,1)</f>
        <v>0</v>
      </c>
      <c r="G97" s="671">
        <f ca="1">OFFSET('Préstamos LP'!$W$47,H1,0,1,1)</f>
        <v>0</v>
      </c>
      <c r="H97" s="671">
        <f ca="1">OFFSET('Préstamos LP'!$W$47,I1,0,1,1)</f>
        <v>0</v>
      </c>
      <c r="I97" s="671">
        <f ca="1">OFFSET('Préstamos LP'!$W$47,J1,0,1,1)</f>
        <v>0</v>
      </c>
      <c r="J97" s="671">
        <f ca="1">OFFSET('Préstamos LP'!$W$47,K1,0,1,1)</f>
        <v>0</v>
      </c>
      <c r="K97" s="671">
        <f ca="1">OFFSET('Préstamos LP'!$W$47,L1,0,1,1)</f>
        <v>0</v>
      </c>
      <c r="L97" s="671">
        <f ca="1">OFFSET('Préstamos LP'!$W$47,M1,0,1,1)</f>
        <v>0</v>
      </c>
      <c r="M97" s="671">
        <f ca="1">OFFSET('Préstamos LP'!$W$47,N1,0,1,1)</f>
        <v>0</v>
      </c>
      <c r="N97" s="671">
        <f ca="1">OFFSET('Préstamos LP'!$W$47,O1,0,1,1)</f>
        <v>0</v>
      </c>
      <c r="O97" s="744"/>
      <c r="P97" s="670">
        <f t="shared" ca="1" si="16"/>
        <v>0</v>
      </c>
      <c r="Q97" s="625"/>
    </row>
    <row r="98" spans="2:18" x14ac:dyDescent="0.2">
      <c r="B98" s="346" t="str">
        <f t="shared" si="18"/>
        <v>Devolución de otros préstamos no financieros</v>
      </c>
      <c r="C98" s="671">
        <f ca="1">OFFSET('Otra financiación'!$G$96,D1,0,1,1)</f>
        <v>0</v>
      </c>
      <c r="D98" s="671">
        <f ca="1">OFFSET('Otra financiación'!$G$96,E1,0,1,1)</f>
        <v>0</v>
      </c>
      <c r="E98" s="671">
        <f ca="1">OFFSET('Otra financiación'!$G$96,F1,0,1,1)</f>
        <v>0</v>
      </c>
      <c r="F98" s="671">
        <f ca="1">OFFSET('Otra financiación'!$G$96,G1,0,1,1)</f>
        <v>0</v>
      </c>
      <c r="G98" s="671">
        <f ca="1">OFFSET('Otra financiación'!$G$96,H1,0,1,1)</f>
        <v>0</v>
      </c>
      <c r="H98" s="671">
        <f ca="1">OFFSET('Otra financiación'!$G$96,I1,0,1,1)</f>
        <v>0</v>
      </c>
      <c r="I98" s="671">
        <f ca="1">OFFSET('Otra financiación'!$G$96,J1,0,1,1)</f>
        <v>0</v>
      </c>
      <c r="J98" s="671">
        <f ca="1">OFFSET('Otra financiación'!$G$96,K1,0,1,1)</f>
        <v>0</v>
      </c>
      <c r="K98" s="671">
        <f ca="1">OFFSET('Otra financiación'!$G$96,L1,0,1,1)</f>
        <v>0</v>
      </c>
      <c r="L98" s="671">
        <f ca="1">OFFSET('Otra financiación'!$G$96,M1,0,1,1)</f>
        <v>0</v>
      </c>
      <c r="M98" s="671">
        <f ca="1">OFFSET('Otra financiación'!$G$96,N1,0,1,1)</f>
        <v>0</v>
      </c>
      <c r="N98" s="671">
        <f ca="1">OFFSET('Otra financiación'!$G$96,O1,0,1,1)</f>
        <v>0</v>
      </c>
      <c r="O98" s="744"/>
      <c r="P98" s="670">
        <f t="shared" ca="1" si="16"/>
        <v>0</v>
      </c>
      <c r="Q98" s="625"/>
    </row>
    <row r="99" spans="2:18" x14ac:dyDescent="0.2">
      <c r="B99" s="346" t="str">
        <f t="shared" si="18"/>
        <v>Inversiones realizadas</v>
      </c>
      <c r="C99" s="761"/>
      <c r="D99" s="761"/>
      <c r="E99" s="761"/>
      <c r="F99" s="761"/>
      <c r="G99" s="761"/>
      <c r="H99" s="761"/>
      <c r="I99" s="761"/>
      <c r="J99" s="761"/>
      <c r="K99" s="761"/>
      <c r="L99" s="761"/>
      <c r="M99" s="761"/>
      <c r="N99" s="625"/>
      <c r="O99" s="752">
        <f>'Entrada Inver_Finan'!G63-'Préstamos LP'!J13</f>
        <v>0</v>
      </c>
      <c r="P99" s="670">
        <f>SUM(C99:O99)</f>
        <v>0</v>
      </c>
      <c r="Q99" s="625"/>
    </row>
    <row r="100" spans="2:18" x14ac:dyDescent="0.2">
      <c r="B100" s="346" t="s">
        <v>447</v>
      </c>
      <c r="C100" s="766">
        <f ca="1">(C90+C91+C94+C95+C99)*'Datos generales'!$D$19+OFFSET('Préstamos LP'!$X$47,D1,0,1,1)</f>
        <v>0</v>
      </c>
      <c r="D100" s="766">
        <f ca="1">(D90+D91+D94+D95+D99)*'Datos generales'!$D$19+OFFSET('Préstamos LP'!$X$47,E1,0,1,1)</f>
        <v>0</v>
      </c>
      <c r="E100" s="766">
        <f ca="1">(E90+E91+E94+E95+E99)*'Datos generales'!$D$19+OFFSET('Préstamos LP'!$X$47,F1,0,1,1)</f>
        <v>0</v>
      </c>
      <c r="F100" s="766">
        <f ca="1">(F90+F91+F94+F95+F99)*'Datos generales'!$D$19+OFFSET('Préstamos LP'!$X$47,G1,0,1,1)</f>
        <v>0</v>
      </c>
      <c r="G100" s="766">
        <f ca="1">(G90+G91+G94+G95+G99)*'Datos generales'!$D$19+OFFSET('Préstamos LP'!$X$47,H1,0,1,1)</f>
        <v>0</v>
      </c>
      <c r="H100" s="766">
        <f ca="1">(H90+H91+H94+H95+H99)*'Datos generales'!$D$19+OFFSET('Préstamos LP'!$X$47,I1,0,1,1)</f>
        <v>0</v>
      </c>
      <c r="I100" s="766">
        <f ca="1">(I90+I91+I94+I95+I99)*'Datos generales'!$D$19+OFFSET('Préstamos LP'!$X$47,J1,0,1,1)</f>
        <v>0</v>
      </c>
      <c r="J100" s="766">
        <f ca="1">(J90+J91+J94+J95+J99)*'Datos generales'!$D$19+OFFSET('Préstamos LP'!$X$47,K1,0,1,1)</f>
        <v>0</v>
      </c>
      <c r="K100" s="766">
        <f ca="1">(K90+K91+K94+K95+K99)*'Datos generales'!$D$19+OFFSET('Préstamos LP'!$X$47,L1,0,1,1)</f>
        <v>0</v>
      </c>
      <c r="L100" s="766">
        <f ca="1">(L90+L91+L94+L95+L99)*'Datos generales'!$D$19+OFFSET('Préstamos LP'!$X$47,M1,0,1,1)</f>
        <v>0</v>
      </c>
      <c r="M100" s="766">
        <f ca="1">(M90+M91+M94+M95+M99)*'Datos generales'!$D$19+OFFSET('Préstamos LP'!$X$47,N1,0,1,1)</f>
        <v>0</v>
      </c>
      <c r="N100" s="766">
        <f ca="1">(N90+N91+N94+N95+N99)*'Datos generales'!$D$19+OFFSET('Préstamos LP'!$X$47,O1,0,1,1)</f>
        <v>0</v>
      </c>
      <c r="O100" s="766">
        <f>(O89+O90)*'Datos generales'!$D$16+(O94+O95+O97+O99)*'Datos generales'!$D$19</f>
        <v>0</v>
      </c>
      <c r="P100" s="670">
        <f t="shared" ca="1" si="16"/>
        <v>0</v>
      </c>
      <c r="Q100" s="625"/>
      <c r="R100" s="42"/>
    </row>
    <row r="101" spans="2:18" x14ac:dyDescent="0.2">
      <c r="B101" s="308" t="s">
        <v>448</v>
      </c>
      <c r="C101" s="767">
        <f ca="1">IF(N76&lt;0,0,N76)</f>
        <v>0</v>
      </c>
      <c r="D101" s="671"/>
      <c r="E101" s="671"/>
      <c r="F101" s="767">
        <f ca="1">IF(E112&lt;0,0,E112)</f>
        <v>0</v>
      </c>
      <c r="G101" s="671"/>
      <c r="H101" s="671"/>
      <c r="I101" s="767">
        <f ca="1">IF(H112&lt;0,0,H112)</f>
        <v>0</v>
      </c>
      <c r="J101" s="671"/>
      <c r="K101" s="671"/>
      <c r="L101" s="767">
        <f ca="1">IF(K112&lt;0,0,K112)</f>
        <v>0</v>
      </c>
      <c r="M101" s="671"/>
      <c r="N101" s="671"/>
      <c r="O101" s="744"/>
      <c r="P101" s="670">
        <f t="shared" ca="1" si="16"/>
        <v>0</v>
      </c>
      <c r="Q101" s="625"/>
    </row>
    <row r="102" spans="2:18" x14ac:dyDescent="0.2">
      <c r="B102" s="308" t="s">
        <v>462</v>
      </c>
      <c r="C102" s="767"/>
      <c r="D102" s="671"/>
      <c r="E102" s="671"/>
      <c r="F102" s="767"/>
      <c r="G102" s="671"/>
      <c r="H102" s="671"/>
      <c r="I102" s="767">
        <f ca="1">'Impuesto sociedades'!E22</f>
        <v>0</v>
      </c>
      <c r="J102" s="671"/>
      <c r="K102" s="671"/>
      <c r="L102" s="767">
        <f ca="1">'Impuesto sociedades'!E23</f>
        <v>0</v>
      </c>
      <c r="M102" s="671"/>
      <c r="N102" s="668">
        <f ca="1">'Impuesto sociedades'!E24</f>
        <v>0</v>
      </c>
      <c r="O102" s="744"/>
      <c r="P102" s="667">
        <f t="shared" ca="1" si="16"/>
        <v>0</v>
      </c>
      <c r="Q102" s="625"/>
    </row>
    <row r="103" spans="2:18" x14ac:dyDescent="0.2">
      <c r="B103" s="308" t="s">
        <v>463</v>
      </c>
      <c r="C103" s="767">
        <f ca="1">'Impuesto sociedades'!F63</f>
        <v>0</v>
      </c>
      <c r="D103" s="671"/>
      <c r="E103" s="671"/>
      <c r="F103" s="767">
        <f ca="1">'Impuesto sociedades'!I60</f>
        <v>0</v>
      </c>
      <c r="G103" s="671"/>
      <c r="H103" s="671">
        <f ca="1">'Impuesto sociedades'!F44</f>
        <v>0</v>
      </c>
      <c r="I103" s="767">
        <f ca="1">'Impuesto sociedades'!I61</f>
        <v>0</v>
      </c>
      <c r="J103" s="671"/>
      <c r="K103" s="671"/>
      <c r="L103" s="767">
        <f ca="1">'Impuesto sociedades'!I62</f>
        <v>0</v>
      </c>
      <c r="M103" s="671"/>
      <c r="N103" s="668"/>
      <c r="O103" s="744"/>
      <c r="P103" s="667">
        <f t="shared" ca="1" si="16"/>
        <v>0</v>
      </c>
      <c r="Q103" s="625"/>
    </row>
    <row r="104" spans="2:18" x14ac:dyDescent="0.2">
      <c r="B104" s="308" t="s">
        <v>451</v>
      </c>
      <c r="C104" s="671">
        <f ca="1">'CUENTA DE RESULTADOS'!D161-'CUENTA DE RESULTADOS'!D160</f>
        <v>0</v>
      </c>
      <c r="D104" s="671">
        <f ca="1">'CUENTA DE RESULTADOS'!E161-'CUENTA DE RESULTADOS'!E160</f>
        <v>0</v>
      </c>
      <c r="E104" s="671">
        <f ca="1">'CUENTA DE RESULTADOS'!F161-'CUENTA DE RESULTADOS'!F160</f>
        <v>0</v>
      </c>
      <c r="F104" s="671">
        <f ca="1">'CUENTA DE RESULTADOS'!G161-'CUENTA DE RESULTADOS'!G160</f>
        <v>0</v>
      </c>
      <c r="G104" s="671">
        <f ca="1">'CUENTA DE RESULTADOS'!H161-'CUENTA DE RESULTADOS'!H160</f>
        <v>0</v>
      </c>
      <c r="H104" s="671">
        <f ca="1">'CUENTA DE RESULTADOS'!I161-'CUENTA DE RESULTADOS'!I160</f>
        <v>0</v>
      </c>
      <c r="I104" s="671">
        <f ca="1">'CUENTA DE RESULTADOS'!J161-'CUENTA DE RESULTADOS'!J160</f>
        <v>0</v>
      </c>
      <c r="J104" s="671">
        <f ca="1">'CUENTA DE RESULTADOS'!K161-'CUENTA DE RESULTADOS'!K160</f>
        <v>0</v>
      </c>
      <c r="K104" s="671">
        <f ca="1">'CUENTA DE RESULTADOS'!L161-'CUENTA DE RESULTADOS'!L160</f>
        <v>0</v>
      </c>
      <c r="L104" s="671">
        <f ca="1">'CUENTA DE RESULTADOS'!M161-'CUENTA DE RESULTADOS'!M160</f>
        <v>0</v>
      </c>
      <c r="M104" s="671">
        <f ca="1">'CUENTA DE RESULTADOS'!N161-'CUENTA DE RESULTADOS'!N160</f>
        <v>0</v>
      </c>
      <c r="N104" s="671">
        <f ca="1">'CUENTA DE RESULTADOS'!O161-'CUENTA DE RESULTADOS'!O160</f>
        <v>0</v>
      </c>
      <c r="O104" s="768"/>
      <c r="P104" s="670">
        <f t="shared" ca="1" si="16"/>
        <v>0</v>
      </c>
      <c r="Q104" s="625"/>
    </row>
    <row r="105" spans="2:18" x14ac:dyDescent="0.2">
      <c r="B105" s="360" t="s">
        <v>452</v>
      </c>
      <c r="C105" s="625">
        <f ca="1">'CUENTA DE RESULTADOS'!D38</f>
        <v>0</v>
      </c>
      <c r="D105" s="769"/>
      <c r="E105" s="769"/>
      <c r="F105" s="770"/>
      <c r="G105" s="769"/>
      <c r="H105" s="769"/>
      <c r="I105" s="770"/>
      <c r="J105" s="769"/>
      <c r="K105" s="769"/>
      <c r="L105" s="770"/>
      <c r="M105" s="769"/>
      <c r="N105" s="769"/>
      <c r="O105" s="625"/>
      <c r="P105" s="763">
        <f ca="1">SUM(C105:N105)</f>
        <v>0</v>
      </c>
      <c r="Q105" s="625"/>
    </row>
    <row r="106" spans="2:18" ht="15.75" x14ac:dyDescent="0.25">
      <c r="B106" s="359" t="s">
        <v>453</v>
      </c>
      <c r="C106" s="764">
        <f ca="1">SUM(C89:C105)</f>
        <v>0</v>
      </c>
      <c r="D106" s="764">
        <f t="shared" ref="D106:P106" ca="1" si="19">SUM(D89:D105)</f>
        <v>0</v>
      </c>
      <c r="E106" s="764">
        <f t="shared" ca="1" si="19"/>
        <v>0</v>
      </c>
      <c r="F106" s="764">
        <f t="shared" ca="1" si="19"/>
        <v>0</v>
      </c>
      <c r="G106" s="764">
        <f t="shared" ca="1" si="19"/>
        <v>0</v>
      </c>
      <c r="H106" s="764">
        <f t="shared" ca="1" si="19"/>
        <v>0</v>
      </c>
      <c r="I106" s="764">
        <f t="shared" ca="1" si="19"/>
        <v>0</v>
      </c>
      <c r="J106" s="764">
        <f t="shared" ca="1" si="19"/>
        <v>0</v>
      </c>
      <c r="K106" s="764">
        <f t="shared" ca="1" si="19"/>
        <v>0</v>
      </c>
      <c r="L106" s="764">
        <f t="shared" ca="1" si="19"/>
        <v>0</v>
      </c>
      <c r="M106" s="764">
        <f t="shared" ca="1" si="19"/>
        <v>0</v>
      </c>
      <c r="N106" s="764">
        <f t="shared" ca="1" si="19"/>
        <v>0</v>
      </c>
      <c r="O106" s="747">
        <f t="shared" si="19"/>
        <v>0</v>
      </c>
      <c r="P106" s="765">
        <f t="shared" ca="1" si="19"/>
        <v>0</v>
      </c>
      <c r="Q106" s="625"/>
    </row>
    <row r="107" spans="2:18" x14ac:dyDescent="0.2">
      <c r="B107" s="361" t="s">
        <v>454</v>
      </c>
      <c r="C107" s="771">
        <f t="shared" ref="C107:P107" ca="1" si="20">+C88-C106</f>
        <v>0</v>
      </c>
      <c r="D107" s="771">
        <f t="shared" ca="1" si="20"/>
        <v>0</v>
      </c>
      <c r="E107" s="771">
        <f t="shared" ca="1" si="20"/>
        <v>0</v>
      </c>
      <c r="F107" s="771">
        <f t="shared" ca="1" si="20"/>
        <v>0</v>
      </c>
      <c r="G107" s="771">
        <f t="shared" ca="1" si="20"/>
        <v>0</v>
      </c>
      <c r="H107" s="771">
        <f t="shared" ca="1" si="20"/>
        <v>0</v>
      </c>
      <c r="I107" s="771">
        <f t="shared" ca="1" si="20"/>
        <v>0</v>
      </c>
      <c r="J107" s="771">
        <f t="shared" ca="1" si="20"/>
        <v>0</v>
      </c>
      <c r="K107" s="771">
        <f t="shared" ca="1" si="20"/>
        <v>0</v>
      </c>
      <c r="L107" s="771">
        <f t="shared" ca="1" si="20"/>
        <v>0</v>
      </c>
      <c r="M107" s="771">
        <f t="shared" ca="1" si="20"/>
        <v>0</v>
      </c>
      <c r="N107" s="771">
        <f t="shared" ca="1" si="20"/>
        <v>0</v>
      </c>
      <c r="O107" s="772">
        <f t="shared" si="20"/>
        <v>0</v>
      </c>
      <c r="P107" s="773">
        <f t="shared" ca="1" si="20"/>
        <v>0</v>
      </c>
      <c r="Q107" s="625"/>
    </row>
    <row r="108" spans="2:18" ht="15.75" x14ac:dyDescent="0.25">
      <c r="B108" s="362" t="s">
        <v>455</v>
      </c>
      <c r="C108" s="774">
        <f t="shared" ref="C108:P108" ca="1" si="21">+C82+C107</f>
        <v>0</v>
      </c>
      <c r="D108" s="774">
        <f t="shared" ca="1" si="21"/>
        <v>0</v>
      </c>
      <c r="E108" s="774">
        <f t="shared" ca="1" si="21"/>
        <v>0</v>
      </c>
      <c r="F108" s="774">
        <f t="shared" ca="1" si="21"/>
        <v>0</v>
      </c>
      <c r="G108" s="774">
        <f t="shared" ca="1" si="21"/>
        <v>0</v>
      </c>
      <c r="H108" s="774">
        <f t="shared" ca="1" si="21"/>
        <v>0</v>
      </c>
      <c r="I108" s="774">
        <f t="shared" ca="1" si="21"/>
        <v>0</v>
      </c>
      <c r="J108" s="774">
        <f t="shared" ca="1" si="21"/>
        <v>0</v>
      </c>
      <c r="K108" s="774">
        <f t="shared" ca="1" si="21"/>
        <v>0</v>
      </c>
      <c r="L108" s="774">
        <f t="shared" ca="1" si="21"/>
        <v>0</v>
      </c>
      <c r="M108" s="774">
        <f t="shared" ca="1" si="21"/>
        <v>0</v>
      </c>
      <c r="N108" s="774">
        <f t="shared" ca="1" si="21"/>
        <v>0</v>
      </c>
      <c r="O108" s="775">
        <f t="shared" ca="1" si="21"/>
        <v>0</v>
      </c>
      <c r="P108" s="776">
        <f t="shared" ca="1" si="21"/>
        <v>0</v>
      </c>
      <c r="Q108" s="625"/>
    </row>
    <row r="109" spans="2:18" ht="13.5" thickBot="1" x14ac:dyDescent="0.25">
      <c r="C109" s="625"/>
      <c r="D109" s="625"/>
      <c r="E109" s="625"/>
      <c r="F109" s="625"/>
      <c r="G109" s="625"/>
      <c r="H109" s="625"/>
      <c r="I109" s="625"/>
      <c r="J109" s="625"/>
      <c r="K109" s="625"/>
      <c r="L109" s="625"/>
      <c r="M109" s="625"/>
      <c r="N109" s="625"/>
      <c r="O109" s="625"/>
      <c r="P109" s="625"/>
      <c r="Q109" s="625"/>
    </row>
    <row r="110" spans="2:18" hidden="1" x14ac:dyDescent="0.2">
      <c r="B110" s="1234" t="s">
        <v>464</v>
      </c>
      <c r="C110" s="1237">
        <f>'Politica Cobr. Pagos'!E74</f>
        <v>0</v>
      </c>
      <c r="D110" s="1237">
        <f>'Politica Cobr. Pagos'!F74</f>
        <v>0</v>
      </c>
      <c r="E110" s="1237">
        <f>'Politica Cobr. Pagos'!G74</f>
        <v>0</v>
      </c>
      <c r="F110" s="1237">
        <f>'Politica Cobr. Pagos'!H74</f>
        <v>0</v>
      </c>
      <c r="G110" s="1237">
        <f>'Politica Cobr. Pagos'!I74</f>
        <v>0</v>
      </c>
      <c r="H110" s="1237">
        <f>'Politica Cobr. Pagos'!J74</f>
        <v>0</v>
      </c>
      <c r="I110" s="1237">
        <f>'Politica Cobr. Pagos'!K74</f>
        <v>0</v>
      </c>
      <c r="J110" s="1237">
        <f>'Politica Cobr. Pagos'!L74</f>
        <v>0</v>
      </c>
      <c r="K110" s="1237">
        <f>'Politica Cobr. Pagos'!M74</f>
        <v>0</v>
      </c>
      <c r="L110" s="1237">
        <f>'Politica Cobr. Pagos'!N74</f>
        <v>0</v>
      </c>
      <c r="M110" s="1237">
        <f>'Politica Cobr. Pagos'!O74</f>
        <v>0</v>
      </c>
      <c r="N110" s="1237">
        <f>'Politica Cobr. Pagos'!P74</f>
        <v>0</v>
      </c>
      <c r="O110" s="1237"/>
      <c r="P110" s="625"/>
      <c r="Q110" s="625"/>
    </row>
    <row r="111" spans="2:18" ht="13.5" hidden="1" thickBot="1" x14ac:dyDescent="0.25">
      <c r="B111" s="1234" t="s">
        <v>465</v>
      </c>
      <c r="C111" s="1237">
        <f>'Politica Cobr. Pagos'!E138</f>
        <v>0</v>
      </c>
      <c r="D111" s="1237">
        <f>'Politica Cobr. Pagos'!F138</f>
        <v>0</v>
      </c>
      <c r="E111" s="1237">
        <f>'Politica Cobr. Pagos'!G138</f>
        <v>0</v>
      </c>
      <c r="F111" s="1237">
        <f>'Politica Cobr. Pagos'!H138</f>
        <v>0</v>
      </c>
      <c r="G111" s="1237">
        <f>'Politica Cobr. Pagos'!I138</f>
        <v>0</v>
      </c>
      <c r="H111" s="1237">
        <f>'Politica Cobr. Pagos'!J138</f>
        <v>0</v>
      </c>
      <c r="I111" s="1237">
        <f>'Politica Cobr. Pagos'!K138</f>
        <v>0</v>
      </c>
      <c r="J111" s="1237">
        <f>'Politica Cobr. Pagos'!L138</f>
        <v>0</v>
      </c>
      <c r="K111" s="1237">
        <f>'Politica Cobr. Pagos'!M138</f>
        <v>0</v>
      </c>
      <c r="L111" s="1237">
        <f>'Politica Cobr. Pagos'!N138</f>
        <v>0</v>
      </c>
      <c r="M111" s="1237">
        <f>'Politica Cobr. Pagos'!O138</f>
        <v>0</v>
      </c>
      <c r="N111" s="1237">
        <f>'Politica Cobr. Pagos'!P138</f>
        <v>0</v>
      </c>
      <c r="O111" s="1237"/>
      <c r="P111" s="625"/>
      <c r="Q111" s="625"/>
    </row>
    <row r="112" spans="2:18" s="42" customFormat="1" ht="13.5" thickBot="1" x14ac:dyDescent="0.25">
      <c r="B112" s="777" t="s">
        <v>466</v>
      </c>
      <c r="C112" s="351">
        <f ca="1">IF('Datos generales'!$D$22&gt;0,C110-C111-C100+O76-C101,0)</f>
        <v>0</v>
      </c>
      <c r="D112" s="351">
        <f ca="1">IF('Datos generales'!$D$22&gt;0,D110-D111-D100+C112-D101,0)</f>
        <v>0</v>
      </c>
      <c r="E112" s="351">
        <f ca="1">IF('Datos generales'!$D$22&gt;0,E110-E111-E100+D112-E101,0)</f>
        <v>0</v>
      </c>
      <c r="F112" s="351">
        <f ca="1">IF('Datos generales'!$D$22&gt;0,F110-F111-F100+E112-F101,0)</f>
        <v>0</v>
      </c>
      <c r="G112" s="351">
        <f ca="1">IF('Datos generales'!$D$22&gt;0,G110-G111-G100+F112-G101,0)</f>
        <v>0</v>
      </c>
      <c r="H112" s="351">
        <f ca="1">IF('Datos generales'!$D$22&gt;0,H110-H111-H100+G112-H101,0)</f>
        <v>0</v>
      </c>
      <c r="I112" s="351">
        <f ca="1">IF('Datos generales'!$D$22&gt;0,I110-I111-I100+H112-I101,0)</f>
        <v>0</v>
      </c>
      <c r="J112" s="351">
        <f ca="1">IF('Datos generales'!$D$22&gt;0,J110-J111-J100+I112-J101,0)</f>
        <v>0</v>
      </c>
      <c r="K112" s="351">
        <f ca="1">IF('Datos generales'!$D$22&gt;0,K110-K111-K100+J112-K101,0)</f>
        <v>0</v>
      </c>
      <c r="L112" s="351">
        <f ca="1">IF('Datos generales'!$D$22&gt;0,L110-L111-L100+K112-L101,0)</f>
        <v>0</v>
      </c>
      <c r="M112" s="351">
        <f ca="1">IF('Datos generales'!$D$22&gt;0,M110-M111-M100+L112-M101,0)</f>
        <v>0</v>
      </c>
      <c r="N112" s="351">
        <f ca="1">IF('Datos generales'!$D$22&gt;0,N110-N111-N100+M112-N101,0)</f>
        <v>0</v>
      </c>
      <c r="O112" s="357">
        <f ca="1">IF('Datos generales'!$D$22&gt;0,O110-O111-O100+N112-O101,0)</f>
        <v>0</v>
      </c>
    </row>
    <row r="113" spans="2:17" x14ac:dyDescent="0.2">
      <c r="B113" s="7" t="s">
        <v>467</v>
      </c>
      <c r="C113" s="104">
        <v>38737</v>
      </c>
      <c r="D113" s="625"/>
      <c r="E113" s="625"/>
      <c r="F113" s="104">
        <v>38827</v>
      </c>
      <c r="G113" s="625"/>
      <c r="H113" s="625"/>
      <c r="I113" s="104">
        <v>38918</v>
      </c>
      <c r="J113" s="625"/>
      <c r="K113" s="625"/>
      <c r="L113" s="104">
        <v>39010</v>
      </c>
      <c r="M113" s="625"/>
      <c r="N113" s="104">
        <v>39802</v>
      </c>
      <c r="O113" s="625"/>
      <c r="P113" s="625"/>
      <c r="Q113" s="625"/>
    </row>
    <row r="114" spans="2:17" x14ac:dyDescent="0.2">
      <c r="C114" s="625"/>
      <c r="D114" s="625"/>
      <c r="E114" s="625"/>
      <c r="F114" s="625"/>
      <c r="G114" s="625"/>
      <c r="H114" s="625"/>
      <c r="I114" s="625"/>
      <c r="J114" s="625"/>
      <c r="K114" s="625"/>
      <c r="L114" s="625"/>
      <c r="M114" s="625"/>
      <c r="N114" s="625"/>
      <c r="O114" s="625"/>
      <c r="P114" s="625"/>
      <c r="Q114" s="625"/>
    </row>
    <row r="115" spans="2:17" x14ac:dyDescent="0.2">
      <c r="C115" s="625"/>
      <c r="D115" s="625"/>
      <c r="E115" s="625"/>
      <c r="F115" s="625"/>
      <c r="G115" s="625"/>
      <c r="H115" s="625"/>
      <c r="I115" s="625"/>
      <c r="J115" s="625"/>
      <c r="K115" s="625"/>
      <c r="L115" s="625"/>
      <c r="M115" s="625"/>
      <c r="N115" s="625"/>
      <c r="O115" s="625"/>
      <c r="P115" s="625"/>
      <c r="Q115" s="625"/>
    </row>
    <row r="116" spans="2:17" ht="15.75" x14ac:dyDescent="0.25">
      <c r="B116" s="138" t="s">
        <v>469</v>
      </c>
      <c r="C116" s="625"/>
      <c r="D116" s="625"/>
      <c r="E116" s="625"/>
      <c r="F116" s="677"/>
      <c r="G116" s="625"/>
      <c r="H116" s="625"/>
      <c r="I116" s="625"/>
      <c r="J116" s="625"/>
      <c r="K116" s="625"/>
      <c r="L116" s="625"/>
      <c r="M116" s="625"/>
      <c r="N116" s="625"/>
      <c r="O116" s="625"/>
      <c r="P116" s="625"/>
      <c r="Q116" s="625"/>
    </row>
    <row r="117" spans="2:17" x14ac:dyDescent="0.2">
      <c r="B117" s="84" t="s">
        <v>170</v>
      </c>
      <c r="C117" s="753" t="s">
        <v>296</v>
      </c>
      <c r="D117" s="753" t="s">
        <v>297</v>
      </c>
      <c r="E117" s="753" t="s">
        <v>298</v>
      </c>
      <c r="F117" s="753" t="s">
        <v>120</v>
      </c>
      <c r="G117" s="753" t="s">
        <v>121</v>
      </c>
      <c r="H117" s="753" t="s">
        <v>122</v>
      </c>
      <c r="I117" s="753" t="s">
        <v>123</v>
      </c>
      <c r="J117" s="753" t="s">
        <v>299</v>
      </c>
      <c r="K117" s="753" t="s">
        <v>300</v>
      </c>
      <c r="L117" s="753" t="s">
        <v>301</v>
      </c>
      <c r="M117" s="753" t="s">
        <v>302</v>
      </c>
      <c r="N117" s="753" t="s">
        <v>303</v>
      </c>
      <c r="O117" s="754" t="s">
        <v>460</v>
      </c>
      <c r="P117" s="755" t="s">
        <v>129</v>
      </c>
      <c r="Q117" s="625"/>
    </row>
    <row r="118" spans="2:17" ht="15.75" x14ac:dyDescent="0.25">
      <c r="B118" s="358" t="s">
        <v>434</v>
      </c>
      <c r="C118" s="756">
        <f ca="1">P108</f>
        <v>0</v>
      </c>
      <c r="D118" s="756">
        <f ca="1">+C144</f>
        <v>0</v>
      </c>
      <c r="E118" s="756">
        <f t="shared" ref="E118:O118" ca="1" si="22">+D144</f>
        <v>0</v>
      </c>
      <c r="F118" s="756">
        <f t="shared" ca="1" si="22"/>
        <v>0</v>
      </c>
      <c r="G118" s="756">
        <f t="shared" ca="1" si="22"/>
        <v>0</v>
      </c>
      <c r="H118" s="756">
        <f t="shared" ca="1" si="22"/>
        <v>0</v>
      </c>
      <c r="I118" s="756">
        <f t="shared" ca="1" si="22"/>
        <v>0</v>
      </c>
      <c r="J118" s="756">
        <f t="shared" ca="1" si="22"/>
        <v>0</v>
      </c>
      <c r="K118" s="756">
        <f t="shared" ca="1" si="22"/>
        <v>0</v>
      </c>
      <c r="L118" s="756">
        <f t="shared" ca="1" si="22"/>
        <v>0</v>
      </c>
      <c r="M118" s="756">
        <f t="shared" ca="1" si="22"/>
        <v>0</v>
      </c>
      <c r="N118" s="756">
        <f t="shared" ca="1" si="22"/>
        <v>0</v>
      </c>
      <c r="O118" s="757">
        <f t="shared" ca="1" si="22"/>
        <v>0</v>
      </c>
      <c r="P118" s="758">
        <f ca="1">P108</f>
        <v>0</v>
      </c>
      <c r="Q118" s="625"/>
    </row>
    <row r="119" spans="2:17" x14ac:dyDescent="0.2">
      <c r="B119" s="354" t="s">
        <v>435</v>
      </c>
      <c r="C119" s="760"/>
      <c r="D119" s="760"/>
      <c r="E119" s="760"/>
      <c r="F119" s="760"/>
      <c r="G119" s="760"/>
      <c r="H119" s="760"/>
      <c r="I119" s="760"/>
      <c r="J119" s="760"/>
      <c r="K119" s="760"/>
      <c r="L119" s="760"/>
      <c r="M119" s="760"/>
      <c r="N119" s="760"/>
      <c r="O119" s="749">
        <f>'Entrada Inver_Finan'!G104</f>
        <v>0</v>
      </c>
      <c r="P119" s="750">
        <f>SUM(C119:O119)</f>
        <v>0</v>
      </c>
      <c r="Q119" s="625"/>
    </row>
    <row r="120" spans="2:17" x14ac:dyDescent="0.2">
      <c r="B120" s="346" t="s">
        <v>461</v>
      </c>
      <c r="C120" s="761">
        <f ca="1">'Politica Cobr. Pagos'!E105</f>
        <v>0</v>
      </c>
      <c r="D120" s="761">
        <f ca="1">'Politica Cobr. Pagos'!F105</f>
        <v>0</v>
      </c>
      <c r="E120" s="761">
        <f ca="1">'Politica Cobr. Pagos'!G105</f>
        <v>0</v>
      </c>
      <c r="F120" s="761">
        <f ca="1">'Politica Cobr. Pagos'!H105</f>
        <v>0</v>
      </c>
      <c r="G120" s="761">
        <f ca="1">'Politica Cobr. Pagos'!I105</f>
        <v>0</v>
      </c>
      <c r="H120" s="761">
        <f ca="1">'Politica Cobr. Pagos'!J105</f>
        <v>0</v>
      </c>
      <c r="I120" s="761">
        <f ca="1">'Politica Cobr. Pagos'!K105</f>
        <v>0</v>
      </c>
      <c r="J120" s="761">
        <f ca="1">'Politica Cobr. Pagos'!L105</f>
        <v>0</v>
      </c>
      <c r="K120" s="761">
        <f ca="1">'Politica Cobr. Pagos'!M105</f>
        <v>0</v>
      </c>
      <c r="L120" s="761">
        <f ca="1">'Politica Cobr. Pagos'!N105</f>
        <v>0</v>
      </c>
      <c r="M120" s="761">
        <f ca="1">'Politica Cobr. Pagos'!O105</f>
        <v>0</v>
      </c>
      <c r="N120" s="761">
        <f ca="1">'Politica Cobr. Pagos'!P105</f>
        <v>0</v>
      </c>
      <c r="O120" s="744"/>
      <c r="P120" s="670">
        <f t="shared" ref="P120:P140" ca="1" si="23">SUM(C120:O120)</f>
        <v>0</v>
      </c>
      <c r="Q120" s="625"/>
    </row>
    <row r="121" spans="2:17" x14ac:dyDescent="0.2">
      <c r="B121" s="346" t="s">
        <v>437</v>
      </c>
      <c r="C121" s="761">
        <f ca="1">OFFSET('Préstamos LP'!$C$59,D1,0,1,1)+OFFSET('Otra financiación'!$G$57,D1,0,1,1)</f>
        <v>0</v>
      </c>
      <c r="D121" s="761">
        <f ca="1">OFFSET('Préstamos LP'!$C$59,E1,0,1,1)+OFFSET('Otra financiación'!$G$57,E1,0,1,1)</f>
        <v>0</v>
      </c>
      <c r="E121" s="761">
        <f ca="1">OFFSET('Préstamos LP'!$C$59,F1,0,1,1)+OFFSET('Otra financiación'!$G$57,F1,0,1,1)</f>
        <v>0</v>
      </c>
      <c r="F121" s="761">
        <f ca="1">OFFSET('Préstamos LP'!$C$59,G1,0,1,1)+OFFSET('Otra financiación'!$G$57,G1,0,1,1)</f>
        <v>0</v>
      </c>
      <c r="G121" s="761">
        <f ca="1">OFFSET('Préstamos LP'!$C$59,H1,0,1,1)+OFFSET('Otra financiación'!$G$57,H1,0,1,1)</f>
        <v>0</v>
      </c>
      <c r="H121" s="761">
        <f ca="1">OFFSET('Préstamos LP'!$C$59,I1,0,1,1)+OFFSET('Otra financiación'!$G$57,I1,0,1,1)</f>
        <v>0</v>
      </c>
      <c r="I121" s="761">
        <f ca="1">OFFSET('Préstamos LP'!$C$59,J1,0,1,1)+OFFSET('Otra financiación'!$G$57,J1,0,1,1)</f>
        <v>0</v>
      </c>
      <c r="J121" s="761">
        <f ca="1">OFFSET('Préstamos LP'!$C$59,K1,0,1,1)+OFFSET('Otra financiación'!$G$57,K1,0,1,1)</f>
        <v>0</v>
      </c>
      <c r="K121" s="761">
        <f ca="1">OFFSET('Préstamos LP'!$C$59,L1,0,1,1)+OFFSET('Otra financiación'!$G$57,L1,0,1,1)</f>
        <v>0</v>
      </c>
      <c r="L121" s="761">
        <f ca="1">OFFSET('Préstamos LP'!$C$59,M1,0,1,1)+OFFSET('Otra financiación'!$G$57,M1,0,1,1)</f>
        <v>0</v>
      </c>
      <c r="M121" s="761">
        <f ca="1">OFFSET('Préstamos LP'!$C$59,N1,0,1,1)+OFFSET('Otra financiación'!$G$57,N1,0,1,1)</f>
        <v>0</v>
      </c>
      <c r="N121" s="761">
        <f ca="1">OFFSET('Préstamos LP'!$C$59,O1,0,1,1)+OFFSET('Otra financiación'!$G$57,O1,0,1,1)</f>
        <v>0</v>
      </c>
      <c r="O121" s="744"/>
      <c r="P121" s="670">
        <f t="shared" ca="1" si="23"/>
        <v>0</v>
      </c>
      <c r="Q121" s="625"/>
    </row>
    <row r="122" spans="2:17" x14ac:dyDescent="0.2">
      <c r="B122" s="346" t="s">
        <v>438</v>
      </c>
      <c r="C122" s="761">
        <f ca="1">OFFSET('Préstamos CP'!$C$48,D1,0,1,1)</f>
        <v>0</v>
      </c>
      <c r="D122" s="761">
        <f ca="1">OFFSET('Préstamos CP'!$C$48,E1,0,1,1)</f>
        <v>0</v>
      </c>
      <c r="E122" s="761">
        <f ca="1">OFFSET('Préstamos CP'!$C$48,F1,0,1,1)</f>
        <v>0</v>
      </c>
      <c r="F122" s="761">
        <f ca="1">OFFSET('Préstamos CP'!$C$48,G1,0,1,1)</f>
        <v>0</v>
      </c>
      <c r="G122" s="761">
        <f ca="1">OFFSET('Préstamos CP'!$C$48,H1,0,1,1)</f>
        <v>0</v>
      </c>
      <c r="H122" s="761">
        <f ca="1">OFFSET('Préstamos CP'!$C$48,I1,0,1,1)</f>
        <v>0</v>
      </c>
      <c r="I122" s="761">
        <f ca="1">OFFSET('Préstamos CP'!$C$48,J1,0,1,1)</f>
        <v>0</v>
      </c>
      <c r="J122" s="761">
        <f ca="1">OFFSET('Préstamos CP'!$C$48,K1,0,1,1)</f>
        <v>0</v>
      </c>
      <c r="K122" s="761">
        <f ca="1">OFFSET('Préstamos CP'!$C$48,L1,0,1,1)</f>
        <v>0</v>
      </c>
      <c r="L122" s="761">
        <f ca="1">OFFSET('Préstamos CP'!$C$48,M1,0,1,1)</f>
        <v>0</v>
      </c>
      <c r="M122" s="761">
        <f ca="1">OFFSET('Préstamos CP'!$C$48,N1,0,1,1)</f>
        <v>0</v>
      </c>
      <c r="N122" s="761">
        <f ca="1">OFFSET('Préstamos CP'!$C$48,O1,0,1,1)</f>
        <v>0</v>
      </c>
      <c r="O122" s="744"/>
      <c r="P122" s="670">
        <f t="shared" ca="1" si="23"/>
        <v>0</v>
      </c>
      <c r="Q122" s="625"/>
    </row>
    <row r="123" spans="2:17" x14ac:dyDescent="0.2">
      <c r="B123" s="355" t="s">
        <v>335</v>
      </c>
      <c r="C123" s="762">
        <f>'CUENTA DE RESULTADOS'!D272</f>
        <v>0</v>
      </c>
      <c r="D123" s="762">
        <f>'CUENTA DE RESULTADOS'!E272</f>
        <v>0</v>
      </c>
      <c r="E123" s="762">
        <f>'CUENTA DE RESULTADOS'!F272</f>
        <v>0</v>
      </c>
      <c r="F123" s="762">
        <f>'CUENTA DE RESULTADOS'!G272</f>
        <v>0</v>
      </c>
      <c r="G123" s="762">
        <f>'CUENTA DE RESULTADOS'!H272</f>
        <v>0</v>
      </c>
      <c r="H123" s="762">
        <f>'CUENTA DE RESULTADOS'!I272</f>
        <v>0</v>
      </c>
      <c r="I123" s="762">
        <f>'CUENTA DE RESULTADOS'!J272</f>
        <v>0</v>
      </c>
      <c r="J123" s="762">
        <f>'CUENTA DE RESULTADOS'!K272</f>
        <v>0</v>
      </c>
      <c r="K123" s="762">
        <f>'CUENTA DE RESULTADOS'!L272</f>
        <v>0</v>
      </c>
      <c r="L123" s="762">
        <f>'CUENTA DE RESULTADOS'!M272</f>
        <v>0</v>
      </c>
      <c r="M123" s="762">
        <f>'CUENTA DE RESULTADOS'!N272</f>
        <v>0</v>
      </c>
      <c r="N123" s="762">
        <f>'CUENTA DE RESULTADOS'!O272</f>
        <v>0</v>
      </c>
      <c r="O123" s="745"/>
      <c r="P123" s="763">
        <f t="shared" si="23"/>
        <v>0</v>
      </c>
      <c r="Q123" s="625"/>
    </row>
    <row r="124" spans="2:17" ht="15.75" x14ac:dyDescent="0.25">
      <c r="B124" s="359" t="s">
        <v>439</v>
      </c>
      <c r="C124" s="764">
        <f t="shared" ref="C124:N124" ca="1" si="24">SUM(C119:C123)</f>
        <v>0</v>
      </c>
      <c r="D124" s="764">
        <f t="shared" ca="1" si="24"/>
        <v>0</v>
      </c>
      <c r="E124" s="764">
        <f t="shared" ca="1" si="24"/>
        <v>0</v>
      </c>
      <c r="F124" s="764">
        <f t="shared" ca="1" si="24"/>
        <v>0</v>
      </c>
      <c r="G124" s="764">
        <f t="shared" ca="1" si="24"/>
        <v>0</v>
      </c>
      <c r="H124" s="764">
        <f t="shared" ca="1" si="24"/>
        <v>0</v>
      </c>
      <c r="I124" s="764">
        <f t="shared" ca="1" si="24"/>
        <v>0</v>
      </c>
      <c r="J124" s="764">
        <f t="shared" ca="1" si="24"/>
        <v>0</v>
      </c>
      <c r="K124" s="764">
        <f t="shared" ca="1" si="24"/>
        <v>0</v>
      </c>
      <c r="L124" s="764">
        <f t="shared" ca="1" si="24"/>
        <v>0</v>
      </c>
      <c r="M124" s="764">
        <f t="shared" ca="1" si="24"/>
        <v>0</v>
      </c>
      <c r="N124" s="764">
        <f t="shared" ca="1" si="24"/>
        <v>0</v>
      </c>
      <c r="O124" s="747"/>
      <c r="P124" s="765">
        <f ca="1">SUM(P119:P123)</f>
        <v>0</v>
      </c>
      <c r="Q124" s="625"/>
    </row>
    <row r="125" spans="2:17" x14ac:dyDescent="0.2">
      <c r="B125" s="354" t="s">
        <v>470</v>
      </c>
      <c r="C125" s="760">
        <f ca="1">'Politica Cobr. Pagos'!E170+'Politica Cobr. Pagos'!E171+'Margen B'!C260</f>
        <v>0</v>
      </c>
      <c r="D125" s="760">
        <f ca="1">'Politica Cobr. Pagos'!F170+'Politica Cobr. Pagos'!F171+'Margen B'!D260</f>
        <v>0</v>
      </c>
      <c r="E125" s="760">
        <f ca="1">'Politica Cobr. Pagos'!G170+'Politica Cobr. Pagos'!G171+'Margen B'!E260</f>
        <v>0</v>
      </c>
      <c r="F125" s="760">
        <f ca="1">'Politica Cobr. Pagos'!H170+'Politica Cobr. Pagos'!H171+'Margen B'!F260</f>
        <v>0</v>
      </c>
      <c r="G125" s="760">
        <f ca="1">'Politica Cobr. Pagos'!I170+'Politica Cobr. Pagos'!I171+'Margen B'!G260</f>
        <v>0</v>
      </c>
      <c r="H125" s="760">
        <f ca="1">'Politica Cobr. Pagos'!J170+'Politica Cobr. Pagos'!J171+'Margen B'!H260</f>
        <v>0</v>
      </c>
      <c r="I125" s="760">
        <f ca="1">'Politica Cobr. Pagos'!K170+'Politica Cobr. Pagos'!K171+'Margen B'!I260</f>
        <v>0</v>
      </c>
      <c r="J125" s="760">
        <f ca="1">'Politica Cobr. Pagos'!L170+'Politica Cobr. Pagos'!L171+'Margen B'!J260</f>
        <v>0</v>
      </c>
      <c r="K125" s="760">
        <f ca="1">'Politica Cobr. Pagos'!M170+'Politica Cobr. Pagos'!M171+'Margen B'!K260</f>
        <v>0</v>
      </c>
      <c r="L125" s="760">
        <f ca="1">'Politica Cobr. Pagos'!N170+'Politica Cobr. Pagos'!N171+'Margen B'!L260</f>
        <v>0</v>
      </c>
      <c r="M125" s="760">
        <f ca="1">'Politica Cobr. Pagos'!O170+'Politica Cobr. Pagos'!O171+'Margen B'!M260</f>
        <v>0</v>
      </c>
      <c r="N125" s="760">
        <f ca="1">'Politica Cobr. Pagos'!P170+'Politica Cobr. Pagos'!P171+'Margen B'!N260</f>
        <v>0</v>
      </c>
      <c r="O125" s="749"/>
      <c r="P125" s="750">
        <f t="shared" ca="1" si="23"/>
        <v>0</v>
      </c>
      <c r="Q125" s="625"/>
    </row>
    <row r="126" spans="2:17" ht="25.5" x14ac:dyDescent="0.2">
      <c r="B126" s="993" t="str">
        <f>B17</f>
        <v>Pago de otros costes directos imputables a los productos o servicios</v>
      </c>
      <c r="C126" s="761">
        <f>'Margen B'!D232</f>
        <v>0</v>
      </c>
      <c r="D126" s="761">
        <f>'Margen B'!E232</f>
        <v>0</v>
      </c>
      <c r="E126" s="761">
        <f>'Margen B'!F232</f>
        <v>0</v>
      </c>
      <c r="F126" s="761">
        <f>'Margen B'!G232</f>
        <v>0</v>
      </c>
      <c r="G126" s="761">
        <f>'Margen B'!H232</f>
        <v>0</v>
      </c>
      <c r="H126" s="761">
        <f>'Margen B'!I232</f>
        <v>0</v>
      </c>
      <c r="I126" s="761">
        <f>'Margen B'!J232</f>
        <v>0</v>
      </c>
      <c r="J126" s="761">
        <f>'Margen B'!K232</f>
        <v>0</v>
      </c>
      <c r="K126" s="761">
        <f>'Margen B'!L232</f>
        <v>0</v>
      </c>
      <c r="L126" s="761">
        <f>'Margen B'!M232</f>
        <v>0</v>
      </c>
      <c r="M126" s="761">
        <f>'Margen B'!N232</f>
        <v>0</v>
      </c>
      <c r="N126" s="761">
        <f>'Margen B'!O232</f>
        <v>0</v>
      </c>
      <c r="O126" s="744"/>
      <c r="P126" s="670">
        <f t="shared" si="23"/>
        <v>0</v>
      </c>
      <c r="Q126" s="625"/>
    </row>
    <row r="127" spans="2:17" ht="25.5" x14ac:dyDescent="0.2">
      <c r="B127" s="993" t="str">
        <f>B18</f>
        <v>Pago de otros costes proporcionales comunes a todos los productos/servicios</v>
      </c>
      <c r="C127" s="761">
        <f>'Margen B'!D242</f>
        <v>0</v>
      </c>
      <c r="D127" s="761">
        <f>'Margen B'!E242</f>
        <v>0</v>
      </c>
      <c r="E127" s="761">
        <f>'Margen B'!F242</f>
        <v>0</v>
      </c>
      <c r="F127" s="761">
        <f>'Margen B'!G242</f>
        <v>0</v>
      </c>
      <c r="G127" s="761">
        <f>'Margen B'!H242</f>
        <v>0</v>
      </c>
      <c r="H127" s="761">
        <f>'Margen B'!I242</f>
        <v>0</v>
      </c>
      <c r="I127" s="761">
        <f>'Margen B'!J242</f>
        <v>0</v>
      </c>
      <c r="J127" s="761">
        <f>'Margen B'!K242</f>
        <v>0</v>
      </c>
      <c r="K127" s="761">
        <f>'Margen B'!L242</f>
        <v>0</v>
      </c>
      <c r="L127" s="761">
        <f>'Margen B'!M242</f>
        <v>0</v>
      </c>
      <c r="M127" s="761">
        <f>'Margen B'!N242</f>
        <v>0</v>
      </c>
      <c r="N127" s="761">
        <f>'Margen B'!O242</f>
        <v>0</v>
      </c>
      <c r="O127" s="744"/>
      <c r="P127" s="670">
        <f>SUM(C127:O127)</f>
        <v>0</v>
      </c>
      <c r="Q127" s="625"/>
    </row>
    <row r="128" spans="2:17" x14ac:dyDescent="0.2">
      <c r="B128" s="346" t="str">
        <f t="shared" ref="B128:B135" si="25">B56</f>
        <v>Total Gastos de personal</v>
      </c>
      <c r="C128" s="761">
        <f>'CUENTA DE RESULTADOS'!D230</f>
        <v>0</v>
      </c>
      <c r="D128" s="761">
        <f>'CUENTA DE RESULTADOS'!E230</f>
        <v>0</v>
      </c>
      <c r="E128" s="761">
        <f>'CUENTA DE RESULTADOS'!F230</f>
        <v>0</v>
      </c>
      <c r="F128" s="761">
        <f>'CUENTA DE RESULTADOS'!G230</f>
        <v>0</v>
      </c>
      <c r="G128" s="761">
        <f>'CUENTA DE RESULTADOS'!H230</f>
        <v>0</v>
      </c>
      <c r="H128" s="761">
        <f>'CUENTA DE RESULTADOS'!I230</f>
        <v>0</v>
      </c>
      <c r="I128" s="761">
        <f>'CUENTA DE RESULTADOS'!J230</f>
        <v>0</v>
      </c>
      <c r="J128" s="761">
        <f>'CUENTA DE RESULTADOS'!K230</f>
        <v>0</v>
      </c>
      <c r="K128" s="761">
        <f>'CUENTA DE RESULTADOS'!L230</f>
        <v>0</v>
      </c>
      <c r="L128" s="761">
        <f>'CUENTA DE RESULTADOS'!M230</f>
        <v>0</v>
      </c>
      <c r="M128" s="761">
        <f>'CUENTA DE RESULTADOS'!N230</f>
        <v>0</v>
      </c>
      <c r="N128" s="761">
        <f>'CUENTA DE RESULTADOS'!O230</f>
        <v>0</v>
      </c>
      <c r="O128" s="744"/>
      <c r="P128" s="670">
        <f t="shared" si="23"/>
        <v>0</v>
      </c>
      <c r="Q128" s="625"/>
    </row>
    <row r="129" spans="2:17" x14ac:dyDescent="0.2">
      <c r="B129" s="346" t="str">
        <f t="shared" si="25"/>
        <v>Total Gastos financieros</v>
      </c>
      <c r="C129" s="671">
        <f ca="1">'CUENTA DE RESULTADOS'!D279</f>
        <v>0</v>
      </c>
      <c r="D129" s="671">
        <f ca="1">'CUENTA DE RESULTADOS'!E279</f>
        <v>0</v>
      </c>
      <c r="E129" s="671">
        <f ca="1">'CUENTA DE RESULTADOS'!F279</f>
        <v>0</v>
      </c>
      <c r="F129" s="671">
        <f ca="1">'CUENTA DE RESULTADOS'!G279</f>
        <v>0</v>
      </c>
      <c r="G129" s="671">
        <f ca="1">'CUENTA DE RESULTADOS'!H279</f>
        <v>0</v>
      </c>
      <c r="H129" s="671">
        <f ca="1">'CUENTA DE RESULTADOS'!I279</f>
        <v>0</v>
      </c>
      <c r="I129" s="671">
        <f ca="1">'CUENTA DE RESULTADOS'!J279</f>
        <v>0</v>
      </c>
      <c r="J129" s="671">
        <f ca="1">'CUENTA DE RESULTADOS'!K279</f>
        <v>0</v>
      </c>
      <c r="K129" s="671">
        <f ca="1">'CUENTA DE RESULTADOS'!L279</f>
        <v>0</v>
      </c>
      <c r="L129" s="671">
        <f ca="1">'CUENTA DE RESULTADOS'!M279</f>
        <v>0</v>
      </c>
      <c r="M129" s="671">
        <f ca="1">'CUENTA DE RESULTADOS'!N279</f>
        <v>0</v>
      </c>
      <c r="N129" s="671">
        <f ca="1">'CUENTA DE RESULTADOS'!O279</f>
        <v>0</v>
      </c>
      <c r="O129" s="744"/>
      <c r="P129" s="670">
        <f t="shared" ca="1" si="23"/>
        <v>0</v>
      </c>
      <c r="Q129" s="625"/>
    </row>
    <row r="130" spans="2:17" x14ac:dyDescent="0.2">
      <c r="B130" s="346" t="str">
        <f t="shared" si="25"/>
        <v>Total Gastos comerciales</v>
      </c>
      <c r="C130" s="671">
        <f>'CUENTA DE RESULTADOS'!D244</f>
        <v>0</v>
      </c>
      <c r="D130" s="671">
        <f>'CUENTA DE RESULTADOS'!E244</f>
        <v>0</v>
      </c>
      <c r="E130" s="671">
        <f>'CUENTA DE RESULTADOS'!F244</f>
        <v>0</v>
      </c>
      <c r="F130" s="671">
        <f>'CUENTA DE RESULTADOS'!G244</f>
        <v>0</v>
      </c>
      <c r="G130" s="671">
        <f>'CUENTA DE RESULTADOS'!H244</f>
        <v>0</v>
      </c>
      <c r="H130" s="671">
        <f>'CUENTA DE RESULTADOS'!I244</f>
        <v>0</v>
      </c>
      <c r="I130" s="671">
        <f>'CUENTA DE RESULTADOS'!J244</f>
        <v>0</v>
      </c>
      <c r="J130" s="671">
        <f>'CUENTA DE RESULTADOS'!K244</f>
        <v>0</v>
      </c>
      <c r="K130" s="671">
        <f>'CUENTA DE RESULTADOS'!L244</f>
        <v>0</v>
      </c>
      <c r="L130" s="671">
        <f>'CUENTA DE RESULTADOS'!M244</f>
        <v>0</v>
      </c>
      <c r="M130" s="671">
        <f>'CUENTA DE RESULTADOS'!N244</f>
        <v>0</v>
      </c>
      <c r="N130" s="671">
        <f>'CUENTA DE RESULTADOS'!O244</f>
        <v>0</v>
      </c>
      <c r="O130" s="744"/>
      <c r="P130" s="670">
        <f t="shared" si="23"/>
        <v>0</v>
      </c>
      <c r="Q130" s="625"/>
    </row>
    <row r="131" spans="2:17" x14ac:dyDescent="0.2">
      <c r="B131" s="346" t="str">
        <f t="shared" si="25"/>
        <v>Total Otros gastos (Servicios exteriores)</v>
      </c>
      <c r="C131" s="671">
        <f>'CUENTA DE RESULTADOS'!D258</f>
        <v>0</v>
      </c>
      <c r="D131" s="671">
        <f>'CUENTA DE RESULTADOS'!E258</f>
        <v>0</v>
      </c>
      <c r="E131" s="671">
        <f>'CUENTA DE RESULTADOS'!F258</f>
        <v>0</v>
      </c>
      <c r="F131" s="671">
        <f>'CUENTA DE RESULTADOS'!G258</f>
        <v>0</v>
      </c>
      <c r="G131" s="671">
        <f>'CUENTA DE RESULTADOS'!H258</f>
        <v>0</v>
      </c>
      <c r="H131" s="671">
        <f>'CUENTA DE RESULTADOS'!I258</f>
        <v>0</v>
      </c>
      <c r="I131" s="671">
        <f>'CUENTA DE RESULTADOS'!J258</f>
        <v>0</v>
      </c>
      <c r="J131" s="671">
        <f>'CUENTA DE RESULTADOS'!K258</f>
        <v>0</v>
      </c>
      <c r="K131" s="671">
        <f>'CUENTA DE RESULTADOS'!L258</f>
        <v>0</v>
      </c>
      <c r="L131" s="671">
        <f>'CUENTA DE RESULTADOS'!M258</f>
        <v>0</v>
      </c>
      <c r="M131" s="671">
        <f>'CUENTA DE RESULTADOS'!N258</f>
        <v>0</v>
      </c>
      <c r="N131" s="671">
        <f>'CUENTA DE RESULTADOS'!O258</f>
        <v>0</v>
      </c>
      <c r="O131" s="744"/>
      <c r="P131" s="670">
        <f t="shared" si="23"/>
        <v>0</v>
      </c>
      <c r="Q131" s="625"/>
    </row>
    <row r="132" spans="2:17" x14ac:dyDescent="0.2">
      <c r="B132" s="346" t="str">
        <f t="shared" si="25"/>
        <v>Devolución de préstamos financieros</v>
      </c>
      <c r="C132" s="671">
        <f ca="1">OFFSET('Préstamos LP'!$F$59,D1,0,1,1)+OFFSET('Préstamos CP'!$E$48,D1,0,1,1)</f>
        <v>0</v>
      </c>
      <c r="D132" s="671">
        <f ca="1">OFFSET('Préstamos LP'!$F$59,E1,0,1,1)+OFFSET('Préstamos CP'!$E$48,E1,0,1,1)</f>
        <v>0</v>
      </c>
      <c r="E132" s="671">
        <f ca="1">OFFSET('Préstamos LP'!$F$59,F1,0,1,1)+OFFSET('Préstamos CP'!$E$48,F1,0,1,1)</f>
        <v>0</v>
      </c>
      <c r="F132" s="671">
        <f ca="1">OFFSET('Préstamos LP'!$F$59,G1,0,1,1)+OFFSET('Préstamos CP'!$E$48,G1,0,1,1)</f>
        <v>0</v>
      </c>
      <c r="G132" s="671">
        <f ca="1">OFFSET('Préstamos LP'!$F$59,H1,0,1,1)+OFFSET('Préstamos CP'!$E$48,H1,0,1,1)</f>
        <v>0</v>
      </c>
      <c r="H132" s="671">
        <f ca="1">OFFSET('Préstamos LP'!$F$59,I1,0,1,1)+OFFSET('Préstamos CP'!$E$48,I1,0,1,1)</f>
        <v>0</v>
      </c>
      <c r="I132" s="671">
        <f ca="1">OFFSET('Préstamos LP'!$F$59,J1,0,1,1)+OFFSET('Préstamos CP'!$E$48,J1,0,1,1)</f>
        <v>0</v>
      </c>
      <c r="J132" s="671">
        <f ca="1">OFFSET('Préstamos LP'!$F$59,K1,0,1,1)+OFFSET('Préstamos CP'!$E$48,K1,0,1,1)</f>
        <v>0</v>
      </c>
      <c r="K132" s="671">
        <f ca="1">OFFSET('Préstamos LP'!$F$59,L1,0,1,1)+OFFSET('Préstamos CP'!$E$48,L1,0,1,1)</f>
        <v>0</v>
      </c>
      <c r="L132" s="671">
        <f ca="1">OFFSET('Préstamos LP'!$F$59,M1,0,1,1)+OFFSET('Préstamos CP'!$E$48,M1,0,1,1)</f>
        <v>0</v>
      </c>
      <c r="M132" s="671">
        <f ca="1">OFFSET('Préstamos LP'!$F$59,N1,0,1,1)+OFFSET('Préstamos CP'!$E$48,N1,0,1,1)</f>
        <v>0</v>
      </c>
      <c r="N132" s="671">
        <f ca="1">OFFSET('Préstamos LP'!$F$59,O1,0,1,1)+OFFSET('Préstamos CP'!$E$48,O1,0,1,1)</f>
        <v>0</v>
      </c>
      <c r="O132" s="744"/>
      <c r="P132" s="670">
        <f t="shared" ca="1" si="23"/>
        <v>0</v>
      </c>
      <c r="Q132" s="625"/>
    </row>
    <row r="133" spans="2:17" x14ac:dyDescent="0.2">
      <c r="B133" s="346" t="str">
        <f t="shared" si="25"/>
        <v>Amortización de los arrendamientos financieros</v>
      </c>
      <c r="C133" s="671">
        <f ca="1">OFFSET('Préstamos LP'!$W$59,D1,0,1,1)</f>
        <v>0</v>
      </c>
      <c r="D133" s="671">
        <f ca="1">OFFSET('Préstamos LP'!$W$59,E1,0,1,1)</f>
        <v>0</v>
      </c>
      <c r="E133" s="671">
        <f ca="1">OFFSET('Préstamos LP'!$W$59,F1,0,1,1)</f>
        <v>0</v>
      </c>
      <c r="F133" s="671">
        <f ca="1">OFFSET('Préstamos LP'!$W$59,G1,0,1,1)</f>
        <v>0</v>
      </c>
      <c r="G133" s="671">
        <f ca="1">OFFSET('Préstamos LP'!$W$59,H1,0,1,1)</f>
        <v>0</v>
      </c>
      <c r="H133" s="671">
        <f ca="1">OFFSET('Préstamos LP'!$W$59,I1,0,1,1)</f>
        <v>0</v>
      </c>
      <c r="I133" s="671">
        <f ca="1">OFFSET('Préstamos LP'!$W$59,J1,0,1,1)</f>
        <v>0</v>
      </c>
      <c r="J133" s="671">
        <f ca="1">OFFSET('Préstamos LP'!$W$59,K1,0,1,1)</f>
        <v>0</v>
      </c>
      <c r="K133" s="671">
        <f ca="1">OFFSET('Préstamos LP'!$W$59,L1,0,1,1)</f>
        <v>0</v>
      </c>
      <c r="L133" s="671">
        <f ca="1">OFFSET('Préstamos LP'!$W$59,M1,0,1,1)</f>
        <v>0</v>
      </c>
      <c r="M133" s="671">
        <f ca="1">OFFSET('Préstamos LP'!$W$59,N1,0,1,1)</f>
        <v>0</v>
      </c>
      <c r="N133" s="671">
        <f ca="1">OFFSET('Préstamos LP'!$W$59,O1,0,1,1)</f>
        <v>0</v>
      </c>
      <c r="O133" s="744"/>
      <c r="P133" s="670">
        <f t="shared" ca="1" si="23"/>
        <v>0</v>
      </c>
      <c r="Q133" s="625"/>
    </row>
    <row r="134" spans="2:17" x14ac:dyDescent="0.2">
      <c r="B134" s="346" t="str">
        <f t="shared" si="25"/>
        <v>Devolución de otros préstamos no financieros</v>
      </c>
      <c r="C134" s="671">
        <f ca="1">OFFSET('Otra financiación'!$G$108,D1,0,1,1)</f>
        <v>0</v>
      </c>
      <c r="D134" s="671">
        <f ca="1">OFFSET('Otra financiación'!$G$108,E1,0,1,1)</f>
        <v>0</v>
      </c>
      <c r="E134" s="671">
        <f ca="1">OFFSET('Otra financiación'!$G$108,F1,0,1,1)</f>
        <v>0</v>
      </c>
      <c r="F134" s="671">
        <f ca="1">OFFSET('Otra financiación'!$G$108,G1,0,1,1)</f>
        <v>0</v>
      </c>
      <c r="G134" s="671">
        <f ca="1">OFFSET('Otra financiación'!$G$108,H1,0,1,1)</f>
        <v>0</v>
      </c>
      <c r="H134" s="671">
        <f ca="1">OFFSET('Otra financiación'!$G$108,I1,0,1,1)</f>
        <v>0</v>
      </c>
      <c r="I134" s="671">
        <f ca="1">OFFSET('Otra financiación'!$G$108,J1,0,1,1)</f>
        <v>0</v>
      </c>
      <c r="J134" s="671">
        <f ca="1">OFFSET('Otra financiación'!$G$108,K1,0,1,1)</f>
        <v>0</v>
      </c>
      <c r="K134" s="671">
        <f ca="1">OFFSET('Otra financiación'!$G$108,L1,0,1,1)</f>
        <v>0</v>
      </c>
      <c r="L134" s="671">
        <f ca="1">OFFSET('Otra financiación'!$G$108,M1,0,1,1)</f>
        <v>0</v>
      </c>
      <c r="M134" s="671">
        <f ca="1">OFFSET('Otra financiación'!$G$108,N1,0,1,1)</f>
        <v>0</v>
      </c>
      <c r="N134" s="671">
        <f ca="1">OFFSET('Otra financiación'!$G$108,O1,0,1,1)</f>
        <v>0</v>
      </c>
      <c r="O134" s="744"/>
      <c r="P134" s="670">
        <f t="shared" ca="1" si="23"/>
        <v>0</v>
      </c>
      <c r="Q134" s="625"/>
    </row>
    <row r="135" spans="2:17" x14ac:dyDescent="0.2">
      <c r="B135" s="346" t="str">
        <f t="shared" si="25"/>
        <v>Inversiones realizadas</v>
      </c>
      <c r="C135" s="761"/>
      <c r="D135" s="761"/>
      <c r="E135" s="761"/>
      <c r="F135" s="761"/>
      <c r="G135" s="761"/>
      <c r="H135" s="761"/>
      <c r="I135" s="761"/>
      <c r="J135" s="761"/>
      <c r="K135" s="761"/>
      <c r="L135" s="761"/>
      <c r="M135" s="761"/>
      <c r="N135" s="625"/>
      <c r="O135" s="752">
        <f>'Entrada Inver_Finan'!H63-'Préstamos LP'!J14</f>
        <v>0</v>
      </c>
      <c r="P135" s="670">
        <f>SUM(C135:O135)</f>
        <v>0</v>
      </c>
      <c r="Q135" s="625"/>
    </row>
    <row r="136" spans="2:17" x14ac:dyDescent="0.2">
      <c r="B136" s="346" t="s">
        <v>447</v>
      </c>
      <c r="C136" s="766">
        <f ca="1">(C126+C127+C130+C131+C135)*'Datos generales'!$D$19+OFFSET('Préstamos LP'!$X$59,D1,0,1,1)</f>
        <v>0</v>
      </c>
      <c r="D136" s="766">
        <f ca="1">(D126+D127+D130+D131+D135)*'Datos generales'!$D$19+OFFSET('Préstamos LP'!$X$59,E1,0,1,1)</f>
        <v>0</v>
      </c>
      <c r="E136" s="766">
        <f ca="1">(E126+E127+E130+E131+E135)*'Datos generales'!$D$19+OFFSET('Préstamos LP'!$X$59,F1,0,1,1)</f>
        <v>0</v>
      </c>
      <c r="F136" s="766">
        <f ca="1">(F126+F127+F130+F131+F135)*'Datos generales'!$D$19+OFFSET('Préstamos LP'!$X$59,G1,0,1,1)</f>
        <v>0</v>
      </c>
      <c r="G136" s="766">
        <f ca="1">(G126+G127+G130+G131+G135)*'Datos generales'!$D$19+OFFSET('Préstamos LP'!$X$59,H1,0,1,1)</f>
        <v>0</v>
      </c>
      <c r="H136" s="766">
        <f ca="1">(H126+H127+H130+H131+H135)*'Datos generales'!$D$19+OFFSET('Préstamos LP'!$X$59,I1,0,1,1)</f>
        <v>0</v>
      </c>
      <c r="I136" s="766">
        <f ca="1">(I126+I127+I130+I131+I135)*'Datos generales'!$D$19+OFFSET('Préstamos LP'!$X$59,J1,0,1,1)</f>
        <v>0</v>
      </c>
      <c r="J136" s="766">
        <f ca="1">(J126+J127+J130+J131+J135)*'Datos generales'!$D$19+OFFSET('Préstamos LP'!$X$59,K1,0,1,1)</f>
        <v>0</v>
      </c>
      <c r="K136" s="766">
        <f ca="1">(K126+K127+K130+K131+K135)*'Datos generales'!$D$19+OFFSET('Préstamos LP'!$X$59,L1,0,1,1)</f>
        <v>0</v>
      </c>
      <c r="L136" s="766">
        <f ca="1">(L126+L127+L130+L131+L135)*'Datos generales'!$D$19+OFFSET('Préstamos LP'!$X$59,M1,0,1,1)</f>
        <v>0</v>
      </c>
      <c r="M136" s="766">
        <f ca="1">(M126+M127+M130+M131+M135)*'Datos generales'!$D$19+OFFSET('Préstamos LP'!$X$59,N1,0,1,1)</f>
        <v>0</v>
      </c>
      <c r="N136" s="766">
        <f ca="1">(N126+N127+N130+N131+N135)*'Datos generales'!$D$19+OFFSET('Préstamos LP'!$X$59,O1,0,1,1)</f>
        <v>0</v>
      </c>
      <c r="O136" s="766">
        <f>(O125+O126)*'Datos generales'!$D$16+(O130+O131+O133+O135)*'Datos generales'!$D$19</f>
        <v>0</v>
      </c>
      <c r="P136" s="670">
        <f t="shared" ca="1" si="23"/>
        <v>0</v>
      </c>
      <c r="Q136" s="625"/>
    </row>
    <row r="137" spans="2:17" x14ac:dyDescent="0.2">
      <c r="B137" s="308" t="s">
        <v>448</v>
      </c>
      <c r="C137" s="767">
        <f ca="1">IF(N112&lt;0,0,O112)</f>
        <v>0</v>
      </c>
      <c r="D137" s="671"/>
      <c r="E137" s="671"/>
      <c r="F137" s="767">
        <f ca="1">IF(E148&lt;0,0,E148)</f>
        <v>0</v>
      </c>
      <c r="G137" s="671"/>
      <c r="H137" s="671"/>
      <c r="I137" s="767">
        <f ca="1">IF(H148&lt;0,0,H148)</f>
        <v>0</v>
      </c>
      <c r="J137" s="671"/>
      <c r="K137" s="671"/>
      <c r="L137" s="767">
        <f ca="1">IF(K148&lt;0,0,K148)</f>
        <v>0</v>
      </c>
      <c r="M137" s="671"/>
      <c r="N137" s="671"/>
      <c r="O137" s="744"/>
      <c r="P137" s="670">
        <f t="shared" ca="1" si="23"/>
        <v>0</v>
      </c>
      <c r="Q137" s="625"/>
    </row>
    <row r="138" spans="2:17" x14ac:dyDescent="0.2">
      <c r="B138" s="308" t="s">
        <v>462</v>
      </c>
      <c r="C138" s="767"/>
      <c r="D138" s="671"/>
      <c r="E138" s="671"/>
      <c r="F138" s="767">
        <f ca="1">'Impuesto sociedades'!F21</f>
        <v>0</v>
      </c>
      <c r="G138" s="671"/>
      <c r="H138" s="671"/>
      <c r="I138" s="767">
        <f ca="1">'Impuesto sociedades'!F22</f>
        <v>0</v>
      </c>
      <c r="J138" s="671"/>
      <c r="K138" s="671"/>
      <c r="L138" s="767">
        <f ca="1">'Impuesto sociedades'!F23</f>
        <v>0</v>
      </c>
      <c r="M138" s="671"/>
      <c r="N138" s="668">
        <f ca="1">'Impuesto sociedades'!F24</f>
        <v>0</v>
      </c>
      <c r="O138" s="744"/>
      <c r="P138" s="670">
        <f t="shared" ca="1" si="23"/>
        <v>0</v>
      </c>
      <c r="Q138" s="625"/>
    </row>
    <row r="139" spans="2:17" x14ac:dyDescent="0.2">
      <c r="B139" s="308" t="s">
        <v>463</v>
      </c>
      <c r="C139" s="767">
        <f ca="1">'Impuesto sociedades'!I63</f>
        <v>0</v>
      </c>
      <c r="D139" s="671"/>
      <c r="E139" s="671"/>
      <c r="F139" s="767">
        <f ca="1">'Impuesto sociedades'!L60</f>
        <v>0</v>
      </c>
      <c r="G139" s="671"/>
      <c r="H139" s="671">
        <f ca="1">'Impuesto sociedades'!I44</f>
        <v>0</v>
      </c>
      <c r="I139" s="767">
        <f ca="1">'Impuesto sociedades'!L61</f>
        <v>0</v>
      </c>
      <c r="J139" s="671"/>
      <c r="K139" s="671"/>
      <c r="L139" s="767">
        <f ca="1">'Impuesto sociedades'!L62</f>
        <v>0</v>
      </c>
      <c r="M139" s="671"/>
      <c r="N139" s="668"/>
      <c r="O139" s="744"/>
      <c r="P139" s="670">
        <f t="shared" ca="1" si="23"/>
        <v>0</v>
      </c>
      <c r="Q139" s="625"/>
    </row>
    <row r="140" spans="2:17" x14ac:dyDescent="0.2">
      <c r="B140" s="308" t="s">
        <v>451</v>
      </c>
      <c r="C140" s="671">
        <f ca="1">'CUENTA DE RESULTADOS'!D239-'CUENTA DE RESULTADOS'!D238</f>
        <v>0</v>
      </c>
      <c r="D140" s="671">
        <f ca="1">'CUENTA DE RESULTADOS'!E239-'CUENTA DE RESULTADOS'!E238</f>
        <v>0</v>
      </c>
      <c r="E140" s="671">
        <f ca="1">'CUENTA DE RESULTADOS'!F239-'CUENTA DE RESULTADOS'!F238</f>
        <v>0</v>
      </c>
      <c r="F140" s="671">
        <f ca="1">'CUENTA DE RESULTADOS'!G239-'CUENTA DE RESULTADOS'!G238</f>
        <v>0</v>
      </c>
      <c r="G140" s="671">
        <f ca="1">'CUENTA DE RESULTADOS'!H239-'CUENTA DE RESULTADOS'!H238</f>
        <v>0</v>
      </c>
      <c r="H140" s="671">
        <f ca="1">'CUENTA DE RESULTADOS'!I239-'CUENTA DE RESULTADOS'!I238</f>
        <v>0</v>
      </c>
      <c r="I140" s="671">
        <f ca="1">'CUENTA DE RESULTADOS'!J239-'CUENTA DE RESULTADOS'!J238</f>
        <v>0</v>
      </c>
      <c r="J140" s="671">
        <f ca="1">'CUENTA DE RESULTADOS'!K239-'CUENTA DE RESULTADOS'!K238</f>
        <v>0</v>
      </c>
      <c r="K140" s="671">
        <f ca="1">'CUENTA DE RESULTADOS'!L239-'CUENTA DE RESULTADOS'!L238</f>
        <v>0</v>
      </c>
      <c r="L140" s="671">
        <f ca="1">'CUENTA DE RESULTADOS'!M239-'CUENTA DE RESULTADOS'!M238</f>
        <v>0</v>
      </c>
      <c r="M140" s="671">
        <f ca="1">'CUENTA DE RESULTADOS'!N239-'CUENTA DE RESULTADOS'!N238</f>
        <v>0</v>
      </c>
      <c r="N140" s="671">
        <f ca="1">'CUENTA DE RESULTADOS'!O239-'CUENTA DE RESULTADOS'!O238</f>
        <v>0</v>
      </c>
      <c r="O140" s="768"/>
      <c r="P140" s="670">
        <f t="shared" ca="1" si="23"/>
        <v>0</v>
      </c>
      <c r="Q140" s="625"/>
    </row>
    <row r="141" spans="2:17" x14ac:dyDescent="0.2">
      <c r="B141" s="360" t="s">
        <v>452</v>
      </c>
      <c r="C141" s="625">
        <f ca="1">'CUENTA DE RESULTADOS'!E38</f>
        <v>0</v>
      </c>
      <c r="D141" s="769"/>
      <c r="E141" s="769"/>
      <c r="F141" s="770"/>
      <c r="G141" s="769"/>
      <c r="H141" s="769"/>
      <c r="I141" s="770"/>
      <c r="J141" s="769"/>
      <c r="K141" s="769"/>
      <c r="L141" s="770"/>
      <c r="M141" s="769"/>
      <c r="N141" s="769"/>
      <c r="O141" s="625"/>
      <c r="P141" s="763">
        <f ca="1">SUM(C141:N141)</f>
        <v>0</v>
      </c>
      <c r="Q141" s="625"/>
    </row>
    <row r="142" spans="2:17" ht="15.75" x14ac:dyDescent="0.25">
      <c r="B142" s="359" t="s">
        <v>453</v>
      </c>
      <c r="C142" s="764">
        <f ca="1">SUM(C125:C141)</f>
        <v>0</v>
      </c>
      <c r="D142" s="764">
        <f t="shared" ref="D142:P142" ca="1" si="26">SUM(D125:D141)</f>
        <v>0</v>
      </c>
      <c r="E142" s="764">
        <f t="shared" ca="1" si="26"/>
        <v>0</v>
      </c>
      <c r="F142" s="764">
        <f t="shared" ca="1" si="26"/>
        <v>0</v>
      </c>
      <c r="G142" s="764">
        <f t="shared" ca="1" si="26"/>
        <v>0</v>
      </c>
      <c r="H142" s="764">
        <f t="shared" ca="1" si="26"/>
        <v>0</v>
      </c>
      <c r="I142" s="764">
        <f t="shared" ca="1" si="26"/>
        <v>0</v>
      </c>
      <c r="J142" s="764">
        <f t="shared" ca="1" si="26"/>
        <v>0</v>
      </c>
      <c r="K142" s="764">
        <f t="shared" ca="1" si="26"/>
        <v>0</v>
      </c>
      <c r="L142" s="764">
        <f t="shared" ca="1" si="26"/>
        <v>0</v>
      </c>
      <c r="M142" s="764">
        <f t="shared" ca="1" si="26"/>
        <v>0</v>
      </c>
      <c r="N142" s="764">
        <f t="shared" ca="1" si="26"/>
        <v>0</v>
      </c>
      <c r="O142" s="747">
        <f t="shared" si="26"/>
        <v>0</v>
      </c>
      <c r="P142" s="765">
        <f t="shared" ca="1" si="26"/>
        <v>0</v>
      </c>
      <c r="Q142" s="625"/>
    </row>
    <row r="143" spans="2:17" x14ac:dyDescent="0.2">
      <c r="B143" s="361" t="s">
        <v>454</v>
      </c>
      <c r="C143" s="771">
        <f t="shared" ref="C143:P143" ca="1" si="27">+C124-C142</f>
        <v>0</v>
      </c>
      <c r="D143" s="771">
        <f t="shared" ca="1" si="27"/>
        <v>0</v>
      </c>
      <c r="E143" s="771">
        <f t="shared" ca="1" si="27"/>
        <v>0</v>
      </c>
      <c r="F143" s="771">
        <f t="shared" ca="1" si="27"/>
        <v>0</v>
      </c>
      <c r="G143" s="771">
        <f t="shared" ca="1" si="27"/>
        <v>0</v>
      </c>
      <c r="H143" s="771">
        <f t="shared" ca="1" si="27"/>
        <v>0</v>
      </c>
      <c r="I143" s="771">
        <f t="shared" ca="1" si="27"/>
        <v>0</v>
      </c>
      <c r="J143" s="771">
        <f t="shared" ca="1" si="27"/>
        <v>0</v>
      </c>
      <c r="K143" s="771">
        <f t="shared" ca="1" si="27"/>
        <v>0</v>
      </c>
      <c r="L143" s="771">
        <f t="shared" ca="1" si="27"/>
        <v>0</v>
      </c>
      <c r="M143" s="771">
        <f t="shared" ca="1" si="27"/>
        <v>0</v>
      </c>
      <c r="N143" s="771">
        <f t="shared" ca="1" si="27"/>
        <v>0</v>
      </c>
      <c r="O143" s="772">
        <f t="shared" si="27"/>
        <v>0</v>
      </c>
      <c r="P143" s="773">
        <f t="shared" ca="1" si="27"/>
        <v>0</v>
      </c>
      <c r="Q143" s="625"/>
    </row>
    <row r="144" spans="2:17" ht="15.75" x14ac:dyDescent="0.25">
      <c r="B144" s="362" t="s">
        <v>455</v>
      </c>
      <c r="C144" s="774">
        <f t="shared" ref="C144:P144" ca="1" si="28">+C118+C143</f>
        <v>0</v>
      </c>
      <c r="D144" s="774">
        <f t="shared" ca="1" si="28"/>
        <v>0</v>
      </c>
      <c r="E144" s="774">
        <f t="shared" ca="1" si="28"/>
        <v>0</v>
      </c>
      <c r="F144" s="774">
        <f t="shared" ca="1" si="28"/>
        <v>0</v>
      </c>
      <c r="G144" s="774">
        <f t="shared" ca="1" si="28"/>
        <v>0</v>
      </c>
      <c r="H144" s="774">
        <f t="shared" ca="1" si="28"/>
        <v>0</v>
      </c>
      <c r="I144" s="774">
        <f t="shared" ca="1" si="28"/>
        <v>0</v>
      </c>
      <c r="J144" s="774">
        <f t="shared" ca="1" si="28"/>
        <v>0</v>
      </c>
      <c r="K144" s="774">
        <f t="shared" ca="1" si="28"/>
        <v>0</v>
      </c>
      <c r="L144" s="774">
        <f t="shared" ca="1" si="28"/>
        <v>0</v>
      </c>
      <c r="M144" s="774">
        <f t="shared" ca="1" si="28"/>
        <v>0</v>
      </c>
      <c r="N144" s="774">
        <f t="shared" ca="1" si="28"/>
        <v>0</v>
      </c>
      <c r="O144" s="775">
        <f t="shared" ca="1" si="28"/>
        <v>0</v>
      </c>
      <c r="P144" s="776">
        <f t="shared" ca="1" si="28"/>
        <v>0</v>
      </c>
      <c r="Q144" s="625"/>
    </row>
    <row r="145" spans="2:17" ht="13.5" thickBot="1" x14ac:dyDescent="0.25">
      <c r="C145" s="625"/>
      <c r="D145" s="625"/>
      <c r="E145" s="625"/>
      <c r="F145" s="625"/>
      <c r="G145" s="625"/>
      <c r="H145" s="625"/>
      <c r="I145" s="625"/>
      <c r="J145" s="625"/>
      <c r="K145" s="625"/>
      <c r="L145" s="625"/>
      <c r="M145" s="625"/>
      <c r="N145" s="625"/>
      <c r="O145" s="625"/>
      <c r="P145" s="625"/>
      <c r="Q145" s="625"/>
    </row>
    <row r="146" spans="2:17" hidden="1" x14ac:dyDescent="0.2">
      <c r="B146" s="1234" t="s">
        <v>464</v>
      </c>
      <c r="C146" s="1238">
        <f>'Politica Cobr. Pagos'!E94</f>
        <v>0</v>
      </c>
      <c r="D146" s="1238">
        <f>'Politica Cobr. Pagos'!F94</f>
        <v>0</v>
      </c>
      <c r="E146" s="1238">
        <f>'Politica Cobr. Pagos'!G94</f>
        <v>0</v>
      </c>
      <c r="F146" s="1238">
        <f>'Politica Cobr. Pagos'!H94</f>
        <v>0</v>
      </c>
      <c r="G146" s="1238">
        <f>'Politica Cobr. Pagos'!I94</f>
        <v>0</v>
      </c>
      <c r="H146" s="1238">
        <f>'Politica Cobr. Pagos'!J94</f>
        <v>0</v>
      </c>
      <c r="I146" s="1238">
        <f>'Politica Cobr. Pagos'!K94</f>
        <v>0</v>
      </c>
      <c r="J146" s="1238">
        <f>'Politica Cobr. Pagos'!L94</f>
        <v>0</v>
      </c>
      <c r="K146" s="1238">
        <f>'Politica Cobr. Pagos'!M94</f>
        <v>0</v>
      </c>
      <c r="L146" s="1238">
        <f>'Politica Cobr. Pagos'!N94</f>
        <v>0</v>
      </c>
      <c r="M146" s="1238">
        <f>'Politica Cobr. Pagos'!O94</f>
        <v>0</v>
      </c>
      <c r="N146" s="1238">
        <f>'Politica Cobr. Pagos'!P94</f>
        <v>0</v>
      </c>
      <c r="O146" s="625"/>
      <c r="P146" s="625"/>
      <c r="Q146" s="625"/>
    </row>
    <row r="147" spans="2:17" ht="13.5" hidden="1" thickBot="1" x14ac:dyDescent="0.25">
      <c r="B147" s="1234" t="s">
        <v>465</v>
      </c>
      <c r="C147" s="1238">
        <f>'Politica Cobr. Pagos'!E159</f>
        <v>0</v>
      </c>
      <c r="D147" s="1238">
        <f>'Politica Cobr. Pagos'!F159</f>
        <v>0</v>
      </c>
      <c r="E147" s="1238">
        <f>'Politica Cobr. Pagos'!G159</f>
        <v>0</v>
      </c>
      <c r="F147" s="1238">
        <f>'Politica Cobr. Pagos'!H159</f>
        <v>0</v>
      </c>
      <c r="G147" s="1238">
        <f>'Politica Cobr. Pagos'!I159</f>
        <v>0</v>
      </c>
      <c r="H147" s="1238">
        <f>'Politica Cobr. Pagos'!J159</f>
        <v>0</v>
      </c>
      <c r="I147" s="1238">
        <f>'Politica Cobr. Pagos'!K159</f>
        <v>0</v>
      </c>
      <c r="J147" s="1238">
        <f>'Politica Cobr. Pagos'!L159</f>
        <v>0</v>
      </c>
      <c r="K147" s="1238">
        <f>'Politica Cobr. Pagos'!M159</f>
        <v>0</v>
      </c>
      <c r="L147" s="1238">
        <f>'Politica Cobr. Pagos'!N159</f>
        <v>0</v>
      </c>
      <c r="M147" s="1238">
        <f>'Politica Cobr. Pagos'!O159</f>
        <v>0</v>
      </c>
      <c r="N147" s="1238">
        <f>'Politica Cobr. Pagos'!P159</f>
        <v>0</v>
      </c>
      <c r="O147" s="625"/>
      <c r="P147" s="625"/>
      <c r="Q147" s="625"/>
    </row>
    <row r="148" spans="2:17" s="42" customFormat="1" ht="13.5" thickBot="1" x14ac:dyDescent="0.25">
      <c r="B148" s="777" t="s">
        <v>466</v>
      </c>
      <c r="C148" s="351">
        <f ca="1">IF('Datos generales'!$D$22&gt;0,C146-C147-C136+O112-C137,0)</f>
        <v>0</v>
      </c>
      <c r="D148" s="351">
        <f ca="1">IF('Datos generales'!$D$22&gt;0,D146-D147-D136+C148-D137,0)</f>
        <v>0</v>
      </c>
      <c r="E148" s="351">
        <f ca="1">IF('Datos generales'!$D$22&gt;0,E146-E147-E136+D148-E137,0)</f>
        <v>0</v>
      </c>
      <c r="F148" s="351">
        <f ca="1">IF('Datos generales'!$D$22&gt;0,F146-F147-F136+E148-F137,0)</f>
        <v>0</v>
      </c>
      <c r="G148" s="351">
        <f ca="1">IF('Datos generales'!$D$22&gt;0,G146-G147-G136+F148-G137,0)</f>
        <v>0</v>
      </c>
      <c r="H148" s="351">
        <f ca="1">IF('Datos generales'!$D$22&gt;0,H146-H147-H136+G148-H137,0)</f>
        <v>0</v>
      </c>
      <c r="I148" s="351">
        <f ca="1">IF('Datos generales'!$D$22&gt;0,I146-I147-I136+H148-I137,0)</f>
        <v>0</v>
      </c>
      <c r="J148" s="351">
        <f ca="1">IF('Datos generales'!$D$22&gt;0,J146-J147-J136+I148-J137,0)</f>
        <v>0</v>
      </c>
      <c r="K148" s="351">
        <f ca="1">IF('Datos generales'!$D$22&gt;0,K146-K147-K136+J148-K137,0)</f>
        <v>0</v>
      </c>
      <c r="L148" s="351">
        <f ca="1">IF('Datos generales'!$D$22&gt;0,L146-L147-L136+K148-L137,0)</f>
        <v>0</v>
      </c>
      <c r="M148" s="351">
        <f ca="1">IF('Datos generales'!$D$22&gt;0,M146-M147-M136+L148-M137,0)</f>
        <v>0</v>
      </c>
      <c r="N148" s="351">
        <f ca="1">IF('Datos generales'!$D$22&gt;0,N146-N147-N136+M148-N137,0)</f>
        <v>0</v>
      </c>
      <c r="O148" s="357">
        <f ca="1">IF('Datos generales'!$D$22&gt;0,O146-O147-O136+N148-O137,0)</f>
        <v>0</v>
      </c>
    </row>
    <row r="149" spans="2:17" x14ac:dyDescent="0.2">
      <c r="B149" s="7" t="s">
        <v>467</v>
      </c>
      <c r="C149" s="104">
        <v>38737</v>
      </c>
      <c r="F149" s="104">
        <v>38827</v>
      </c>
      <c r="I149" s="104">
        <v>38918</v>
      </c>
      <c r="L149" s="104">
        <v>39010</v>
      </c>
      <c r="N149" s="104">
        <v>39802</v>
      </c>
    </row>
    <row r="154" spans="2:17" x14ac:dyDescent="0.2">
      <c r="I154" s="42"/>
    </row>
  </sheetData>
  <sheetProtection password="CC4B" sheet="1"/>
  <mergeCells count="1">
    <mergeCell ref="B4:G4"/>
  </mergeCells>
  <phoneticPr fontId="0" type="noConversion"/>
  <printOptions horizontalCentered="1" verticalCentered="1"/>
  <pageMargins left="0.75" right="0.75" top="0.39370078740157483" bottom="1" header="0" footer="0"/>
  <pageSetup paperSize="9"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21</vt:i4>
      </vt:variant>
    </vt:vector>
  </HeadingPairs>
  <TitlesOfParts>
    <vt:vector size="39" baseType="lpstr">
      <vt:lpstr>Impuesto sociedades</vt:lpstr>
      <vt:lpstr>Inicio</vt:lpstr>
      <vt:lpstr>Datos generales</vt:lpstr>
      <vt:lpstr>Previsión de negocio</vt:lpstr>
      <vt:lpstr>Entrada Inver_Finan</vt:lpstr>
      <vt:lpstr>Previsión de Gastos</vt:lpstr>
      <vt:lpstr>PRESUPUESTO INICIAL INVER_FINAN</vt:lpstr>
      <vt:lpstr>CUENTA DE RESULTADOS</vt:lpstr>
      <vt:lpstr>TESORERIA</vt:lpstr>
      <vt:lpstr>BALANCES</vt:lpstr>
      <vt:lpstr>AMORTIZACION CONTABLE</vt:lpstr>
      <vt:lpstr>Préstamos LP</vt:lpstr>
      <vt:lpstr>Préstamos CP</vt:lpstr>
      <vt:lpstr>Otra financiación</vt:lpstr>
      <vt:lpstr>Plan de inversión</vt:lpstr>
      <vt:lpstr>Presupuesto de ventas</vt:lpstr>
      <vt:lpstr>Margen B</vt:lpstr>
      <vt:lpstr>Politica Cobr. Pagos</vt:lpstr>
      <vt:lpstr>'AMORTIZACION CONTABLE'!Área_de_impresión</vt:lpstr>
      <vt:lpstr>BALANCES!Área_de_impresión</vt:lpstr>
      <vt:lpstr>'CUENTA DE RESULTADOS'!Área_de_impresión</vt:lpstr>
      <vt:lpstr>'Margen B'!Área_de_impresión</vt:lpstr>
      <vt:lpstr>'Plan de inversión'!Área_de_impresión</vt:lpstr>
      <vt:lpstr>'Politica Cobr. Pagos'!Área_de_impresión</vt:lpstr>
      <vt:lpstr>'Préstamos LP'!Área_de_impresión</vt:lpstr>
      <vt:lpstr>'Presupuesto de ventas'!Área_de_impresión</vt:lpstr>
      <vt:lpstr>'PRESUPUESTO INICIAL INVER_FINAN'!Área_de_impresión</vt:lpstr>
      <vt:lpstr>TESORERIA!Área_de_impresión</vt:lpstr>
      <vt:lpstr>'AMORTIZACION CONTABLE'!Títulos_a_imprimir</vt:lpstr>
      <vt:lpstr>BALANCES!Títulos_a_imprimir</vt:lpstr>
      <vt:lpstr>'CUENTA DE RESULTADOS'!Títulos_a_imprimir</vt:lpstr>
      <vt:lpstr>'Margen B'!Títulos_a_imprimir</vt:lpstr>
      <vt:lpstr>'Plan de inversión'!Títulos_a_imprimir</vt:lpstr>
      <vt:lpstr>'Politica Cobr. Pagos'!Títulos_a_imprimir</vt:lpstr>
      <vt:lpstr>'Préstamos CP'!Títulos_a_imprimir</vt:lpstr>
      <vt:lpstr>'Préstamos LP'!Títulos_a_imprimir</vt:lpstr>
      <vt:lpstr>'Presupuesto de ventas'!Títulos_a_imprimir</vt:lpstr>
      <vt:lpstr>'PRESUPUESTO INICIAL INVER_FINAN'!Títulos_a_imprimir</vt:lpstr>
      <vt:lpstr>TESORERIA!Títulos_a_imprimir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Muñoz</dc:creator>
  <cp:keywords/>
  <dc:description/>
  <cp:lastModifiedBy>34619</cp:lastModifiedBy>
  <cp:revision/>
  <dcterms:created xsi:type="dcterms:W3CDTF">2001-01-17T08:43:53Z</dcterms:created>
  <dcterms:modified xsi:type="dcterms:W3CDTF">2023-06-06T08:01:42Z</dcterms:modified>
  <cp:category/>
  <cp:contentStatus/>
</cp:coreProperties>
</file>