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15" windowWidth="16095" windowHeight="9660" activeTab="1"/>
  </bookViews>
  <sheets>
    <sheet name="Template" sheetId="1" r:id="rId1"/>
    <sheet name="Answers" sheetId="2" r:id="rId2"/>
  </sheets>
  <calcPr calcId="145621"/>
</workbook>
</file>

<file path=xl/calcChain.xml><?xml version="1.0" encoding="utf-8"?>
<calcChain xmlns="http://schemas.openxmlformats.org/spreadsheetml/2006/main">
  <c r="C38" i="2" l="1"/>
  <c r="C37" i="2"/>
  <c r="C36" i="2"/>
  <c r="C29" i="2"/>
  <c r="C28" i="2"/>
  <c r="C27" i="2"/>
  <c r="C20" i="2"/>
  <c r="C19" i="2"/>
  <c r="C18" i="2"/>
  <c r="C235" i="2"/>
  <c r="C236" i="2"/>
  <c r="C237" i="2"/>
  <c r="C238" i="2"/>
  <c r="C207" i="2"/>
  <c r="C208" i="2"/>
  <c r="C209" i="2"/>
  <c r="C210" i="2"/>
  <c r="C211" i="2"/>
  <c r="C180" i="2"/>
  <c r="C181" i="2"/>
  <c r="C182" i="2"/>
  <c r="C183" i="2"/>
  <c r="C69" i="2" l="1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121" i="2" s="1"/>
  <c r="C13" i="2" l="1"/>
  <c r="C97" i="2" l="1"/>
  <c r="C124" i="2" s="1"/>
  <c r="C98" i="2"/>
  <c r="C125" i="2" s="1"/>
  <c r="C99" i="2"/>
  <c r="C126" i="2" s="1"/>
  <c r="C100" i="2"/>
  <c r="C127" i="2" s="1"/>
  <c r="C101" i="2"/>
  <c r="C128" i="2" s="1"/>
  <c r="C102" i="2"/>
  <c r="C129" i="2" s="1"/>
  <c r="C103" i="2"/>
  <c r="C130" i="2" s="1"/>
  <c r="C104" i="2"/>
  <c r="C131" i="2" s="1"/>
  <c r="C105" i="2"/>
  <c r="C132" i="2" s="1"/>
  <c r="C106" i="2"/>
  <c r="C133" i="2" s="1"/>
  <c r="C107" i="2"/>
  <c r="C134" i="2" s="1"/>
  <c r="C108" i="2"/>
  <c r="C135" i="2" s="1"/>
  <c r="C109" i="2"/>
  <c r="C136" i="2" s="1"/>
  <c r="C110" i="2"/>
  <c r="C137" i="2" s="1"/>
  <c r="C111" i="2"/>
  <c r="C138" i="2" s="1"/>
  <c r="C112" i="2"/>
  <c r="C139" i="2" s="1"/>
  <c r="C113" i="2"/>
  <c r="C140" i="2" s="1"/>
  <c r="C114" i="2"/>
  <c r="C141" i="2" s="1"/>
  <c r="C115" i="2"/>
  <c r="C142" i="2" s="1"/>
  <c r="C116" i="2"/>
  <c r="C143" i="2" s="1"/>
  <c r="C117" i="2"/>
  <c r="C144" i="2" s="1"/>
  <c r="C118" i="2"/>
  <c r="C145" i="2" s="1"/>
  <c r="C119" i="2"/>
  <c r="C146" i="2" s="1"/>
  <c r="C120" i="2"/>
  <c r="C147" i="2" s="1"/>
  <c r="C148" i="2"/>
  <c r="C96" i="2"/>
  <c r="C123" i="2" s="1"/>
  <c r="C173" i="2" l="1"/>
  <c r="C169" i="2"/>
  <c r="C22" i="2"/>
  <c r="C165" i="2"/>
  <c r="C157" i="2"/>
  <c r="C179" i="2"/>
  <c r="C150" i="2"/>
  <c r="C168" i="2"/>
  <c r="C170" i="2"/>
  <c r="C166" i="2"/>
  <c r="C162" i="2"/>
  <c r="C158" i="2"/>
  <c r="C154" i="2"/>
  <c r="C161" i="2"/>
  <c r="C153" i="2"/>
  <c r="C172" i="2"/>
  <c r="C164" i="2"/>
  <c r="C160" i="2"/>
  <c r="C156" i="2"/>
  <c r="C152" i="2"/>
  <c r="C171" i="2"/>
  <c r="C167" i="2"/>
  <c r="C163" i="2"/>
  <c r="C159" i="2"/>
  <c r="C155" i="2"/>
  <c r="C151" i="2"/>
  <c r="C174" i="2"/>
  <c r="C234" i="2" l="1"/>
  <c r="C263" i="2"/>
  <c r="C265" i="2"/>
  <c r="C261" i="2"/>
  <c r="C268" i="2"/>
  <c r="C267" i="2"/>
  <c r="C264" i="2"/>
  <c r="C269" i="2"/>
  <c r="C266" i="2"/>
  <c r="C262" i="2"/>
  <c r="C270" i="2"/>
  <c r="C21" i="2"/>
  <c r="C10" i="2" s="1"/>
  <c r="C31" i="2" l="1"/>
  <c r="C16" i="2"/>
  <c r="C17" i="2"/>
  <c r="C258" i="2"/>
  <c r="C289" i="2" l="1"/>
  <c r="C288" i="2"/>
  <c r="C290" i="2"/>
  <c r="C292" i="2"/>
  <c r="C291" i="2"/>
  <c r="C23" i="2"/>
  <c r="C30" i="2"/>
  <c r="C26" i="2" s="1"/>
  <c r="C9" i="2"/>
  <c r="C12" i="2" s="1"/>
  <c r="C40" i="2" l="1"/>
  <c r="C39" i="2"/>
  <c r="C35" i="2" s="1"/>
  <c r="C25" i="2"/>
  <c r="C11" i="2"/>
  <c r="C34" i="2" l="1"/>
</calcChain>
</file>

<file path=xl/sharedStrings.xml><?xml version="1.0" encoding="utf-8"?>
<sst xmlns="http://schemas.openxmlformats.org/spreadsheetml/2006/main" count="66" uniqueCount="38">
  <si>
    <t>Vial #</t>
  </si>
  <si>
    <t>Elution time (min)</t>
  </si>
  <si>
    <t>Activity in eluant (cpm)</t>
  </si>
  <si>
    <t>Specific Activity (cpm · µmol⁻¹)</t>
  </si>
  <si>
    <t>Root Cnts (cpm)</t>
  </si>
  <si>
    <t>Shoot Cnts (cpm)</t>
  </si>
  <si>
    <t>Root weight (g)</t>
  </si>
  <si>
    <t>G-Factor</t>
  </si>
  <si>
    <t>Load Time (min)</t>
  </si>
  <si>
    <t>cpms_gRFW</t>
  </si>
  <si>
    <t>cpms_fact</t>
  </si>
  <si>
    <t>cpms_log</t>
  </si>
  <si>
    <t>r2</t>
  </si>
  <si>
    <t>r2_p1</t>
  </si>
  <si>
    <t>p12_r2_sum</t>
  </si>
  <si>
    <t>p12_r2_max</t>
  </si>
  <si>
    <t>END OBJ REG (Index)</t>
  </si>
  <si>
    <t>r2_p2</t>
  </si>
  <si>
    <t>Influx</t>
  </si>
  <si>
    <t>Efflux</t>
  </si>
  <si>
    <t>Net Flux</t>
  </si>
  <si>
    <t>E:I Ratio</t>
  </si>
  <si>
    <t>Pool size</t>
  </si>
  <si>
    <t>Half-life</t>
  </si>
  <si>
    <r>
      <t>R</t>
    </r>
    <r>
      <rPr>
        <b/>
        <vertAlign val="superscript"/>
        <sz val="10"/>
        <rFont val="Arial"/>
        <family val="2"/>
      </rPr>
      <t>2</t>
    </r>
  </si>
  <si>
    <t>Slope</t>
  </si>
  <si>
    <t>Intercept</t>
  </si>
  <si>
    <t>k</t>
  </si>
  <si>
    <t>r0</t>
  </si>
  <si>
    <t>Tracer Retained</t>
  </si>
  <si>
    <t>Elution Period</t>
  </si>
  <si>
    <t>Phase I</t>
  </si>
  <si>
    <t>Phase II Corrected</t>
  </si>
  <si>
    <t>Phase III</t>
  </si>
  <si>
    <t>Phase II</t>
  </si>
  <si>
    <t>Start</t>
  </si>
  <si>
    <t>End</t>
  </si>
  <si>
    <t>p12_r2_max_x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</si>
</sst>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vertAlign val="superscript"/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5" fillId="0" borderId="0"/>
    <xf numFmtId="0" fontId="2" fillId="0" borderId="0"/>
    <xf numFmtId="0" fontId="7" fillId="0" borderId="0" applyNumberFormat="0" applyFill="0" applyBorder="0" applyAlignment="0" applyProtection="0"/>
    <xf numFmtId="0" fontId="6" fillId="0" borderId="0"/>
    <xf numFmtId="0" fontId="6" fillId="0" borderId="0"/>
    <xf numFmtId="0" fontId="2" fillId="0" borderId="0" applyNumberFormat="0" applyFill="0" applyBorder="0" applyAlignment="0" applyProtection="0"/>
    <xf numFmtId="0" fontId="2" fillId="0" borderId="0"/>
  </cellStyleXfs>
  <cellXfs count="2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2" fontId="0" fillId="0" borderId="0" xfId="0" applyNumberFormat="1" applyFill="1"/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Fill="1" applyBorder="1" applyAlignment="1" applyProtection="1"/>
    <xf numFmtId="164" fontId="0" fillId="0" borderId="0" xfId="0" applyNumberFormat="1"/>
    <xf numFmtId="164" fontId="0" fillId="0" borderId="3" xfId="0" applyNumberFormat="1" applyBorder="1"/>
    <xf numFmtId="0" fontId="0" fillId="0" borderId="3" xfId="0" applyBorder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2" fontId="0" fillId="0" borderId="0" xfId="0" applyNumberFormat="1" applyBorder="1" applyAlignment="1">
      <alignment horizontal="center" vertical="center"/>
    </xf>
    <xf numFmtId="0" fontId="0" fillId="0" borderId="0" xfId="0"/>
    <xf numFmtId="0" fontId="0" fillId="0" borderId="2" xfId="0" applyBorder="1"/>
    <xf numFmtId="164" fontId="1" fillId="0" borderId="0" xfId="0" applyNumberFormat="1" applyFont="1"/>
    <xf numFmtId="164" fontId="0" fillId="0" borderId="0" xfId="0" applyNumberFormat="1" applyFont="1"/>
    <xf numFmtId="0" fontId="7" fillId="0" borderId="0" xfId="4"/>
    <xf numFmtId="2" fontId="6" fillId="0" borderId="4" xfId="6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1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/>
    </xf>
    <xf numFmtId="0" fontId="0" fillId="0" borderId="0" xfId="0" applyFill="1" applyBorder="1"/>
  </cellXfs>
  <cellStyles count="9">
    <cellStyle name="Normal" xfId="0" builtinId="0"/>
    <cellStyle name="Normal 2" xfId="1"/>
    <cellStyle name="Normal 2 2" xfId="6"/>
    <cellStyle name="Normal 2 3" xfId="7"/>
    <cellStyle name="Normal 2 4" xfId="5"/>
    <cellStyle name="Normal 3" xfId="2"/>
    <cellStyle name="Normal 3 2" xfId="8"/>
    <cellStyle name="Normal 4" xfId="3"/>
    <cellStyle name="Normal 5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38"/>
  <sheetViews>
    <sheetView zoomScaleNormal="100" workbookViewId="0">
      <selection activeCell="C9" sqref="C9:C34"/>
    </sheetView>
  </sheetViews>
  <sheetFormatPr defaultRowHeight="15" x14ac:dyDescent="0.25"/>
  <cols>
    <col min="1" max="1" width="4.28515625" customWidth="1"/>
    <col min="2" max="2" width="12.42578125" customWidth="1"/>
    <col min="3" max="3" width="15.7109375" customWidth="1"/>
  </cols>
  <sheetData>
    <row r="1" spans="1:3" x14ac:dyDescent="0.25">
      <c r="C1" s="24">
        <v>24</v>
      </c>
    </row>
    <row r="2" spans="1:3" ht="30.75" customHeight="1" x14ac:dyDescent="0.25">
      <c r="A2" s="19" t="s">
        <v>3</v>
      </c>
      <c r="B2" s="19"/>
      <c r="C2" s="13">
        <v>6078.6035000000002</v>
      </c>
    </row>
    <row r="3" spans="1:3" x14ac:dyDescent="0.25">
      <c r="A3" s="19" t="s">
        <v>4</v>
      </c>
      <c r="B3" s="19"/>
      <c r="C3" s="5">
        <v>15752.6</v>
      </c>
    </row>
    <row r="4" spans="1:3" x14ac:dyDescent="0.25">
      <c r="A4" s="19" t="s">
        <v>5</v>
      </c>
      <c r="B4" s="19"/>
      <c r="C4" s="13">
        <v>8318.2000000000007</v>
      </c>
    </row>
    <row r="5" spans="1:3" x14ac:dyDescent="0.25">
      <c r="A5" s="19" t="s">
        <v>6</v>
      </c>
      <c r="B5" s="19"/>
      <c r="C5" s="13">
        <v>0.83569999999999922</v>
      </c>
    </row>
    <row r="6" spans="1:3" x14ac:dyDescent="0.25">
      <c r="A6" s="19" t="s">
        <v>7</v>
      </c>
      <c r="B6" s="19"/>
      <c r="C6" s="13">
        <v>1.0322854361159761</v>
      </c>
    </row>
    <row r="7" spans="1:3" x14ac:dyDescent="0.25">
      <c r="A7" s="19" t="s">
        <v>8</v>
      </c>
      <c r="B7" s="19"/>
      <c r="C7" s="18">
        <v>60</v>
      </c>
    </row>
    <row r="8" spans="1:3" ht="30" x14ac:dyDescent="0.25">
      <c r="A8" s="2" t="s">
        <v>0</v>
      </c>
      <c r="B8" s="1" t="s">
        <v>1</v>
      </c>
      <c r="C8" s="1" t="s">
        <v>2</v>
      </c>
    </row>
    <row r="9" spans="1:3" x14ac:dyDescent="0.25">
      <c r="B9" s="17">
        <v>1.5</v>
      </c>
      <c r="C9" s="5">
        <v>339337.6</v>
      </c>
    </row>
    <row r="10" spans="1:3" x14ac:dyDescent="0.25">
      <c r="B10" s="17">
        <v>3</v>
      </c>
      <c r="C10" s="5">
        <v>78544.800000000003</v>
      </c>
    </row>
    <row r="11" spans="1:3" x14ac:dyDescent="0.25">
      <c r="B11" s="17">
        <v>4.5</v>
      </c>
      <c r="C11" s="5">
        <v>23185.5</v>
      </c>
    </row>
    <row r="12" spans="1:3" x14ac:dyDescent="0.25">
      <c r="B12" s="17">
        <v>6</v>
      </c>
      <c r="C12" s="5">
        <v>10950.9</v>
      </c>
    </row>
    <row r="13" spans="1:3" x14ac:dyDescent="0.25">
      <c r="B13" s="17">
        <v>7.5</v>
      </c>
      <c r="C13" s="5">
        <v>6474.7</v>
      </c>
    </row>
    <row r="14" spans="1:3" x14ac:dyDescent="0.25">
      <c r="B14" s="17">
        <v>9</v>
      </c>
      <c r="C14" s="5">
        <v>4340.2</v>
      </c>
    </row>
    <row r="15" spans="1:3" x14ac:dyDescent="0.25">
      <c r="B15" s="17">
        <v>10.5</v>
      </c>
      <c r="C15" s="5">
        <v>2975.1</v>
      </c>
    </row>
    <row r="16" spans="1:3" x14ac:dyDescent="0.25">
      <c r="B16" s="17">
        <v>12</v>
      </c>
      <c r="C16" s="5">
        <v>2240.9</v>
      </c>
    </row>
    <row r="17" spans="2:3" x14ac:dyDescent="0.25">
      <c r="B17" s="17">
        <v>13.5</v>
      </c>
      <c r="C17" s="5">
        <v>1790.1</v>
      </c>
    </row>
    <row r="18" spans="2:3" x14ac:dyDescent="0.25">
      <c r="B18" s="17">
        <v>15</v>
      </c>
      <c r="C18" s="5">
        <v>1453</v>
      </c>
    </row>
    <row r="19" spans="2:3" x14ac:dyDescent="0.25">
      <c r="B19" s="17">
        <v>16.5</v>
      </c>
      <c r="C19" s="5">
        <v>1228.4000000000001</v>
      </c>
    </row>
    <row r="20" spans="2:3" x14ac:dyDescent="0.25">
      <c r="B20" s="17">
        <v>18</v>
      </c>
      <c r="C20" s="5">
        <v>1100.7</v>
      </c>
    </row>
    <row r="21" spans="2:3" x14ac:dyDescent="0.25">
      <c r="B21" s="17">
        <v>19.5</v>
      </c>
      <c r="C21" s="5">
        <v>930.6</v>
      </c>
    </row>
    <row r="22" spans="2:3" x14ac:dyDescent="0.25">
      <c r="B22" s="17">
        <v>21</v>
      </c>
      <c r="C22" s="5">
        <v>769.6</v>
      </c>
    </row>
    <row r="23" spans="2:3" x14ac:dyDescent="0.25">
      <c r="B23" s="17">
        <v>22.5</v>
      </c>
      <c r="C23" s="5">
        <v>777.8</v>
      </c>
    </row>
    <row r="24" spans="2:3" x14ac:dyDescent="0.25">
      <c r="B24" s="17">
        <v>24</v>
      </c>
      <c r="C24" s="5">
        <v>557.6</v>
      </c>
    </row>
    <row r="25" spans="2:3" x14ac:dyDescent="0.25">
      <c r="B25" s="17">
        <v>25.5</v>
      </c>
      <c r="C25" s="5">
        <v>576.9</v>
      </c>
    </row>
    <row r="26" spans="2:3" x14ac:dyDescent="0.25">
      <c r="B26" s="17">
        <v>27</v>
      </c>
      <c r="C26" s="5">
        <v>554.20000000000005</v>
      </c>
    </row>
    <row r="27" spans="2:3" x14ac:dyDescent="0.25">
      <c r="B27" s="17">
        <v>28.5</v>
      </c>
      <c r="C27" s="5">
        <v>451</v>
      </c>
    </row>
    <row r="28" spans="2:3" x14ac:dyDescent="0.25">
      <c r="B28" s="17">
        <v>30</v>
      </c>
      <c r="C28" s="5">
        <v>430.1</v>
      </c>
    </row>
    <row r="29" spans="2:3" x14ac:dyDescent="0.25">
      <c r="B29" s="17">
        <v>31.5</v>
      </c>
      <c r="C29" s="5">
        <v>340.8</v>
      </c>
    </row>
    <row r="30" spans="2:3" x14ac:dyDescent="0.25">
      <c r="B30" s="17">
        <v>33</v>
      </c>
      <c r="C30" s="5">
        <v>362.6</v>
      </c>
    </row>
    <row r="31" spans="2:3" x14ac:dyDescent="0.25">
      <c r="B31" s="17">
        <v>34.5</v>
      </c>
      <c r="C31" s="5">
        <v>284.8</v>
      </c>
    </row>
    <row r="32" spans="2:3" x14ac:dyDescent="0.25">
      <c r="B32" s="17">
        <v>36</v>
      </c>
      <c r="C32" s="5">
        <v>301.60000000000002</v>
      </c>
    </row>
    <row r="33" spans="2:3" x14ac:dyDescent="0.25">
      <c r="B33" s="17">
        <v>37.5</v>
      </c>
      <c r="C33" s="5">
        <v>285.2</v>
      </c>
    </row>
    <row r="34" spans="2:3" x14ac:dyDescent="0.25">
      <c r="B34" s="17">
        <v>39</v>
      </c>
      <c r="C34" s="5">
        <v>273.8</v>
      </c>
    </row>
    <row r="35" spans="2:3" x14ac:dyDescent="0.25">
      <c r="B35" s="13"/>
      <c r="C35" s="5"/>
    </row>
    <row r="36" spans="2:3" x14ac:dyDescent="0.25">
      <c r="B36" s="13"/>
      <c r="C36" s="5"/>
    </row>
    <row r="37" spans="2:3" x14ac:dyDescent="0.25">
      <c r="B37" s="13"/>
      <c r="C37" s="5"/>
    </row>
    <row r="38" spans="2:3" x14ac:dyDescent="0.25">
      <c r="B38" s="13"/>
      <c r="C38" s="5"/>
    </row>
  </sheetData>
  <mergeCells count="6">
    <mergeCell ref="A7:B7"/>
    <mergeCell ref="A2:B2"/>
    <mergeCell ref="A3:B3"/>
    <mergeCell ref="A4:B4"/>
    <mergeCell ref="A5:B5"/>
    <mergeCell ref="A6:B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313"/>
  <sheetViews>
    <sheetView tabSelected="1" topLeftCell="A28" zoomScale="70" zoomScaleNormal="70" workbookViewId="0">
      <selection activeCell="C39" sqref="C39"/>
    </sheetView>
  </sheetViews>
  <sheetFormatPr defaultRowHeight="15" x14ac:dyDescent="0.25"/>
  <cols>
    <col min="1" max="1" width="14.140625" customWidth="1"/>
    <col min="3" max="3" width="13.85546875" customWidth="1"/>
  </cols>
  <sheetData>
    <row r="1" spans="1:3" x14ac:dyDescent="0.25">
      <c r="C1" s="24">
        <v>24</v>
      </c>
    </row>
    <row r="2" spans="1:3" x14ac:dyDescent="0.25">
      <c r="A2" s="19" t="s">
        <v>3</v>
      </c>
      <c r="B2" s="19"/>
      <c r="C2" s="13">
        <v>6078.6035000000002</v>
      </c>
    </row>
    <row r="3" spans="1:3" x14ac:dyDescent="0.25">
      <c r="A3" s="19" t="s">
        <v>4</v>
      </c>
      <c r="B3" s="19"/>
      <c r="C3" s="5">
        <v>15752.6</v>
      </c>
    </row>
    <row r="4" spans="1:3" x14ac:dyDescent="0.25">
      <c r="A4" s="19" t="s">
        <v>5</v>
      </c>
      <c r="B4" s="19"/>
      <c r="C4" s="13">
        <v>8318.2000000000007</v>
      </c>
    </row>
    <row r="5" spans="1:3" x14ac:dyDescent="0.25">
      <c r="A5" s="19" t="s">
        <v>6</v>
      </c>
      <c r="B5" s="19"/>
      <c r="C5" s="13">
        <v>0.83569999999999922</v>
      </c>
    </row>
    <row r="6" spans="1:3" x14ac:dyDescent="0.25">
      <c r="A6" s="19" t="s">
        <v>7</v>
      </c>
      <c r="B6" s="19"/>
      <c r="C6" s="13">
        <v>1.0322854361159761</v>
      </c>
    </row>
    <row r="7" spans="1:3" x14ac:dyDescent="0.25">
      <c r="A7" s="19" t="s">
        <v>8</v>
      </c>
      <c r="B7" s="19"/>
      <c r="C7" s="18">
        <v>60</v>
      </c>
    </row>
    <row r="8" spans="1:3" x14ac:dyDescent="0.25">
      <c r="A8" s="22" t="s">
        <v>30</v>
      </c>
      <c r="B8" s="22"/>
      <c r="C8" s="12">
        <v>39</v>
      </c>
    </row>
    <row r="9" spans="1:3" x14ac:dyDescent="0.25">
      <c r="A9" s="23" t="s">
        <v>18</v>
      </c>
      <c r="B9" s="23"/>
      <c r="C9">
        <f>C16+C10</f>
        <v>37.482302221225169</v>
      </c>
    </row>
    <row r="10" spans="1:3" x14ac:dyDescent="0.25">
      <c r="A10" s="21" t="s">
        <v>20</v>
      </c>
      <c r="B10" s="21"/>
      <c r="C10">
        <f>60*(C13-(C22/C21)*EXP(-1*C21*C8))/C2/C7</f>
        <v>4.323022258420111</v>
      </c>
    </row>
    <row r="11" spans="1:3" x14ac:dyDescent="0.25">
      <c r="A11" s="21" t="s">
        <v>21</v>
      </c>
      <c r="B11" s="21"/>
      <c r="C11">
        <f>C16/C9</f>
        <v>0.88466497514199904</v>
      </c>
    </row>
    <row r="12" spans="1:3" x14ac:dyDescent="0.25">
      <c r="A12" s="21" t="s">
        <v>22</v>
      </c>
      <c r="B12" s="21"/>
      <c r="C12">
        <f>C9*C17/(3*0.693)</f>
        <v>169.22547990077885</v>
      </c>
    </row>
    <row r="13" spans="1:3" x14ac:dyDescent="0.25">
      <c r="A13" s="21" t="s">
        <v>29</v>
      </c>
      <c r="B13" s="21"/>
      <c r="C13" s="9">
        <f>(C3+C4)/C5</f>
        <v>28803.159028359489</v>
      </c>
    </row>
    <row r="14" spans="1:3" x14ac:dyDescent="0.25">
      <c r="A14" s="20" t="s">
        <v>33</v>
      </c>
      <c r="B14" s="10" t="s">
        <v>35</v>
      </c>
      <c r="C14" s="9">
        <v>13.5</v>
      </c>
    </row>
    <row r="15" spans="1:3" x14ac:dyDescent="0.25">
      <c r="A15" s="20"/>
      <c r="B15" s="10" t="s">
        <v>36</v>
      </c>
      <c r="C15" s="9">
        <v>39</v>
      </c>
    </row>
    <row r="16" spans="1:3" x14ac:dyDescent="0.25">
      <c r="A16" s="20"/>
      <c r="B16" s="10" t="s">
        <v>19</v>
      </c>
      <c r="C16">
        <f>60*C22/(C$2*(1-EXP(-1*C21*60)))</f>
        <v>33.159279962805059</v>
      </c>
    </row>
    <row r="17" spans="1:3" x14ac:dyDescent="0.25">
      <c r="A17" s="20"/>
      <c r="B17" s="11" t="s">
        <v>23</v>
      </c>
      <c r="C17" s="9">
        <f>0.693/C21</f>
        <v>9.3862903787829133</v>
      </c>
    </row>
    <row r="18" spans="1:3" x14ac:dyDescent="0.25">
      <c r="A18" s="20"/>
      <c r="B18" s="11" t="s">
        <v>24</v>
      </c>
      <c r="C18">
        <f>RSQ(C131:C148,B131:B148)</f>
        <v>0.96788142923054787</v>
      </c>
    </row>
    <row r="19" spans="1:3" x14ac:dyDescent="0.25">
      <c r="A19" s="20"/>
      <c r="B19" s="11" t="s">
        <v>25</v>
      </c>
      <c r="C19" s="9">
        <f>SLOPE(C131:C148,B131:B148)</f>
        <v>-3.2058655971642931E-2</v>
      </c>
    </row>
    <row r="20" spans="1:3" x14ac:dyDescent="0.25">
      <c r="A20" s="20"/>
      <c r="B20" s="11" t="s">
        <v>26</v>
      </c>
      <c r="C20" s="9">
        <f>INTERCEPT(C131:C148,B131:B148)</f>
        <v>3.5210514810028339</v>
      </c>
    </row>
    <row r="21" spans="1:3" x14ac:dyDescent="0.25">
      <c r="A21" s="20"/>
      <c r="B21" s="11" t="s">
        <v>27</v>
      </c>
      <c r="C21" s="9">
        <f>ABS(C19)*2.303</f>
        <v>7.3831084702693672E-2</v>
      </c>
    </row>
    <row r="22" spans="1:3" x14ac:dyDescent="0.25">
      <c r="A22" s="20"/>
      <c r="B22" s="11" t="s">
        <v>28</v>
      </c>
      <c r="C22" s="9">
        <f>10^C20</f>
        <v>3319.338024509671</v>
      </c>
    </row>
    <row r="23" spans="1:3" x14ac:dyDescent="0.25">
      <c r="A23" s="20" t="s">
        <v>34</v>
      </c>
      <c r="B23" s="10" t="s">
        <v>35</v>
      </c>
      <c r="C23" s="9">
        <f>C259</f>
        <v>6</v>
      </c>
    </row>
    <row r="24" spans="1:3" x14ac:dyDescent="0.25">
      <c r="A24" s="20"/>
      <c r="B24" s="10" t="s">
        <v>36</v>
      </c>
      <c r="C24" s="9">
        <v>12</v>
      </c>
    </row>
    <row r="25" spans="1:3" x14ac:dyDescent="0.25">
      <c r="A25" s="20"/>
      <c r="B25" s="10" t="s">
        <v>19</v>
      </c>
      <c r="C25">
        <f>60*C31/(C$2*(1-EXP(-1*C30*60)))</f>
        <v>967.25405065536972</v>
      </c>
    </row>
    <row r="26" spans="1:3" x14ac:dyDescent="0.25">
      <c r="A26" s="20"/>
      <c r="B26" s="11" t="s">
        <v>23</v>
      </c>
      <c r="C26" s="9">
        <f>0.693/C30</f>
        <v>1.5617750560537054</v>
      </c>
    </row>
    <row r="27" spans="1:3" x14ac:dyDescent="0.25">
      <c r="A27" s="20"/>
      <c r="B27" s="11" t="s">
        <v>24</v>
      </c>
      <c r="C27">
        <f>RSQ(C264:C268,B264:B268)</f>
        <v>0.99958136062441305</v>
      </c>
    </row>
    <row r="28" spans="1:3" x14ac:dyDescent="0.25">
      <c r="A28" s="20"/>
      <c r="B28" s="11" t="s">
        <v>25</v>
      </c>
      <c r="C28" s="9">
        <f>SLOPE(C264:C268,B264:B268)</f>
        <v>-0.192672979976827</v>
      </c>
    </row>
    <row r="29" spans="1:3" x14ac:dyDescent="0.25">
      <c r="A29" s="20"/>
      <c r="B29" s="11" t="s">
        <v>26</v>
      </c>
      <c r="C29" s="9">
        <f>INTERCEPT(C264:C268,B264:B268)</f>
        <v>4.9911931225469583</v>
      </c>
    </row>
    <row r="30" spans="1:3" x14ac:dyDescent="0.25">
      <c r="A30" s="20"/>
      <c r="B30" s="11" t="s">
        <v>27</v>
      </c>
      <c r="C30" s="9">
        <f>ABS(C28)*2.303</f>
        <v>0.44372587288663257</v>
      </c>
    </row>
    <row r="31" spans="1:3" x14ac:dyDescent="0.25">
      <c r="A31" s="20"/>
      <c r="B31" s="11" t="s">
        <v>28</v>
      </c>
      <c r="C31" s="9">
        <f>10^C29</f>
        <v>97992.564294780095</v>
      </c>
    </row>
    <row r="32" spans="1:3" x14ac:dyDescent="0.25">
      <c r="A32" s="20" t="s">
        <v>31</v>
      </c>
      <c r="B32" s="10" t="s">
        <v>35</v>
      </c>
      <c r="C32" s="9">
        <v>1.5</v>
      </c>
    </row>
    <row r="33" spans="1:3" x14ac:dyDescent="0.25">
      <c r="A33" s="20"/>
      <c r="B33" s="10" t="s">
        <v>36</v>
      </c>
      <c r="C33" s="9">
        <v>4.5</v>
      </c>
    </row>
    <row r="34" spans="1:3" x14ac:dyDescent="0.25">
      <c r="A34" s="20"/>
      <c r="B34" s="10" t="s">
        <v>19</v>
      </c>
      <c r="C34">
        <f>60*C40/(C$2*(1-EXP(-1*C39*60)))</f>
        <v>19869.191716095414</v>
      </c>
    </row>
    <row r="35" spans="1:3" x14ac:dyDescent="0.25">
      <c r="A35" s="20"/>
      <c r="B35" s="11" t="s">
        <v>23</v>
      </c>
      <c r="C35" s="9">
        <f>0.693/C39</f>
        <v>0.49532057067515639</v>
      </c>
    </row>
    <row r="36" spans="1:3" x14ac:dyDescent="0.25">
      <c r="A36" s="20"/>
      <c r="B36" s="11" t="s">
        <v>24</v>
      </c>
      <c r="C36">
        <f>RSQ(C288:C290,B288:B290)</f>
        <v>0.99473624754618784</v>
      </c>
    </row>
    <row r="37" spans="1:3" x14ac:dyDescent="0.25">
      <c r="A37" s="20"/>
      <c r="B37" s="11" t="s">
        <v>25</v>
      </c>
      <c r="C37" s="9">
        <f>SLOPE(C288:C290,B288:B290)</f>
        <v>-0.60750930189145924</v>
      </c>
    </row>
    <row r="38" spans="1:3" x14ac:dyDescent="0.25">
      <c r="A38" s="20"/>
      <c r="B38" s="11" t="s">
        <v>26</v>
      </c>
      <c r="C38" s="9">
        <f>INTERCEPT(C288:C290,B288:B290)</f>
        <v>6.3038327656739188</v>
      </c>
    </row>
    <row r="39" spans="1:3" x14ac:dyDescent="0.25">
      <c r="A39" s="20"/>
      <c r="B39" s="11" t="s">
        <v>27</v>
      </c>
      <c r="C39" s="9">
        <f>ABS(C37)*2.303</f>
        <v>1.3990939222560306</v>
      </c>
    </row>
    <row r="40" spans="1:3" x14ac:dyDescent="0.25">
      <c r="A40" s="20"/>
      <c r="B40" s="11" t="s">
        <v>28</v>
      </c>
      <c r="C40" s="9">
        <f>10^C38</f>
        <v>2012948.9717938097</v>
      </c>
    </row>
    <row r="41" spans="1:3" ht="45" x14ac:dyDescent="0.25">
      <c r="A41" s="2" t="s">
        <v>0</v>
      </c>
      <c r="B41" s="4" t="s">
        <v>1</v>
      </c>
      <c r="C41" s="4" t="s">
        <v>2</v>
      </c>
    </row>
    <row r="42" spans="1:3" x14ac:dyDescent="0.25">
      <c r="B42" s="17">
        <v>1.5</v>
      </c>
      <c r="C42" s="5">
        <v>339337.6</v>
      </c>
    </row>
    <row r="43" spans="1:3" x14ac:dyDescent="0.25">
      <c r="B43" s="17">
        <v>3</v>
      </c>
      <c r="C43" s="5">
        <v>78544.800000000003</v>
      </c>
    </row>
    <row r="44" spans="1:3" x14ac:dyDescent="0.25">
      <c r="B44" s="17">
        <v>4.5</v>
      </c>
      <c r="C44" s="5">
        <v>23185.5</v>
      </c>
    </row>
    <row r="45" spans="1:3" x14ac:dyDescent="0.25">
      <c r="B45" s="17">
        <v>6</v>
      </c>
      <c r="C45" s="5">
        <v>10950.9</v>
      </c>
    </row>
    <row r="46" spans="1:3" x14ac:dyDescent="0.25">
      <c r="B46" s="17">
        <v>7.5</v>
      </c>
      <c r="C46" s="5">
        <v>6474.7</v>
      </c>
    </row>
    <row r="47" spans="1:3" x14ac:dyDescent="0.25">
      <c r="B47" s="17">
        <v>9</v>
      </c>
      <c r="C47" s="5">
        <v>4340.2</v>
      </c>
    </row>
    <row r="48" spans="1:3" x14ac:dyDescent="0.25">
      <c r="B48" s="17">
        <v>10.5</v>
      </c>
      <c r="C48" s="5">
        <v>2975.1</v>
      </c>
    </row>
    <row r="49" spans="2:3" x14ac:dyDescent="0.25">
      <c r="B49" s="17">
        <v>12</v>
      </c>
      <c r="C49" s="5">
        <v>2240.9</v>
      </c>
    </row>
    <row r="50" spans="2:3" x14ac:dyDescent="0.25">
      <c r="B50" s="17">
        <v>13.5</v>
      </c>
      <c r="C50" s="5">
        <v>1790.1</v>
      </c>
    </row>
    <row r="51" spans="2:3" x14ac:dyDescent="0.25">
      <c r="B51" s="17">
        <v>15</v>
      </c>
      <c r="C51" s="5">
        <v>1453</v>
      </c>
    </row>
    <row r="52" spans="2:3" x14ac:dyDescent="0.25">
      <c r="B52" s="17">
        <v>16.5</v>
      </c>
      <c r="C52" s="5">
        <v>1228.4000000000001</v>
      </c>
    </row>
    <row r="53" spans="2:3" x14ac:dyDescent="0.25">
      <c r="B53" s="17">
        <v>18</v>
      </c>
      <c r="C53" s="5">
        <v>1100.7</v>
      </c>
    </row>
    <row r="54" spans="2:3" x14ac:dyDescent="0.25">
      <c r="B54" s="17">
        <v>19.5</v>
      </c>
      <c r="C54" s="5">
        <v>930.6</v>
      </c>
    </row>
    <row r="55" spans="2:3" x14ac:dyDescent="0.25">
      <c r="B55" s="17">
        <v>21</v>
      </c>
      <c r="C55" s="5">
        <v>769.6</v>
      </c>
    </row>
    <row r="56" spans="2:3" x14ac:dyDescent="0.25">
      <c r="B56" s="17">
        <v>22.5</v>
      </c>
      <c r="C56" s="5">
        <v>777.8</v>
      </c>
    </row>
    <row r="57" spans="2:3" x14ac:dyDescent="0.25">
      <c r="B57" s="17">
        <v>24</v>
      </c>
      <c r="C57" s="5">
        <v>557.6</v>
      </c>
    </row>
    <row r="58" spans="2:3" x14ac:dyDescent="0.25">
      <c r="B58" s="17">
        <v>25.5</v>
      </c>
      <c r="C58" s="5">
        <v>576.9</v>
      </c>
    </row>
    <row r="59" spans="2:3" x14ac:dyDescent="0.25">
      <c r="B59" s="17">
        <v>27</v>
      </c>
      <c r="C59" s="5">
        <v>554.20000000000005</v>
      </c>
    </row>
    <row r="60" spans="2:3" x14ac:dyDescent="0.25">
      <c r="B60" s="17">
        <v>28.5</v>
      </c>
      <c r="C60" s="5">
        <v>451</v>
      </c>
    </row>
    <row r="61" spans="2:3" x14ac:dyDescent="0.25">
      <c r="B61" s="17">
        <v>30</v>
      </c>
      <c r="C61" s="5">
        <v>430.1</v>
      </c>
    </row>
    <row r="62" spans="2:3" x14ac:dyDescent="0.25">
      <c r="B62" s="17">
        <v>31.5</v>
      </c>
      <c r="C62" s="5">
        <v>340.8</v>
      </c>
    </row>
    <row r="63" spans="2:3" x14ac:dyDescent="0.25">
      <c r="B63" s="17">
        <v>33</v>
      </c>
      <c r="C63" s="5">
        <v>362.6</v>
      </c>
    </row>
    <row r="64" spans="2:3" x14ac:dyDescent="0.25">
      <c r="B64" s="17">
        <v>34.5</v>
      </c>
      <c r="C64" s="5">
        <v>284.8</v>
      </c>
    </row>
    <row r="65" spans="1:3" x14ac:dyDescent="0.25">
      <c r="B65" s="17">
        <v>36</v>
      </c>
      <c r="C65" s="5">
        <v>301.60000000000002</v>
      </c>
    </row>
    <row r="66" spans="1:3" x14ac:dyDescent="0.25">
      <c r="B66" s="17">
        <v>37.5</v>
      </c>
      <c r="C66" s="5">
        <v>285.2</v>
      </c>
    </row>
    <row r="67" spans="1:3" x14ac:dyDescent="0.25">
      <c r="B67" s="17">
        <v>39</v>
      </c>
      <c r="C67" s="5">
        <v>273.8</v>
      </c>
    </row>
    <row r="68" spans="1:3" x14ac:dyDescent="0.25">
      <c r="A68" t="s">
        <v>10</v>
      </c>
      <c r="B68" s="3">
        <v>0</v>
      </c>
    </row>
    <row r="69" spans="1:3" x14ac:dyDescent="0.25">
      <c r="B69" s="17">
        <v>1.5</v>
      </c>
      <c r="C69" s="13">
        <f t="shared" ref="C69:C94" si="0">C42*C$6</f>
        <v>350293.26240654866</v>
      </c>
    </row>
    <row r="70" spans="1:3" x14ac:dyDescent="0.25">
      <c r="B70" s="17">
        <v>3</v>
      </c>
      <c r="C70" s="13">
        <f t="shared" si="0"/>
        <v>81080.653122642121</v>
      </c>
    </row>
    <row r="71" spans="1:3" x14ac:dyDescent="0.25">
      <c r="B71" s="17">
        <v>4.5</v>
      </c>
      <c r="C71" s="13">
        <f t="shared" si="0"/>
        <v>23934.053979066965</v>
      </c>
    </row>
    <row r="72" spans="1:3" x14ac:dyDescent="0.25">
      <c r="B72" s="17">
        <v>6</v>
      </c>
      <c r="C72" s="13">
        <f t="shared" si="0"/>
        <v>11304.454582362443</v>
      </c>
    </row>
    <row r="73" spans="1:3" x14ac:dyDescent="0.25">
      <c r="B73" s="17">
        <v>7.5</v>
      </c>
      <c r="C73" s="13">
        <f t="shared" si="0"/>
        <v>6683.7385132201107</v>
      </c>
    </row>
    <row r="74" spans="1:3" x14ac:dyDescent="0.25">
      <c r="B74" s="17">
        <v>9</v>
      </c>
      <c r="C74" s="13">
        <f t="shared" si="0"/>
        <v>4480.3252498305592</v>
      </c>
    </row>
    <row r="75" spans="1:3" x14ac:dyDescent="0.25">
      <c r="B75" s="17">
        <v>10.5</v>
      </c>
      <c r="C75" s="13">
        <f t="shared" si="0"/>
        <v>3071.1524009886402</v>
      </c>
    </row>
    <row r="76" spans="1:3" x14ac:dyDescent="0.25">
      <c r="B76" s="17">
        <v>12</v>
      </c>
      <c r="C76" s="13">
        <f t="shared" si="0"/>
        <v>2313.2484337922911</v>
      </c>
    </row>
    <row r="77" spans="1:3" x14ac:dyDescent="0.25">
      <c r="B77" s="17">
        <v>13.5</v>
      </c>
      <c r="C77" s="13">
        <f t="shared" si="0"/>
        <v>1847.8941591912087</v>
      </c>
    </row>
    <row r="78" spans="1:3" x14ac:dyDescent="0.25">
      <c r="B78" s="17">
        <v>15</v>
      </c>
      <c r="C78" s="13">
        <f t="shared" si="0"/>
        <v>1499.9107386765133</v>
      </c>
    </row>
    <row r="79" spans="1:3" x14ac:dyDescent="0.25">
      <c r="B79" s="17">
        <v>16.5</v>
      </c>
      <c r="C79" s="13">
        <f t="shared" si="0"/>
        <v>1268.0594297248651</v>
      </c>
    </row>
    <row r="80" spans="1:3" x14ac:dyDescent="0.25">
      <c r="B80" s="17">
        <v>18</v>
      </c>
      <c r="C80" s="13">
        <f t="shared" si="0"/>
        <v>1136.2365795328549</v>
      </c>
    </row>
    <row r="81" spans="1:3" x14ac:dyDescent="0.25">
      <c r="B81" s="17">
        <v>19.5</v>
      </c>
      <c r="C81" s="13">
        <f t="shared" si="0"/>
        <v>960.64482684952736</v>
      </c>
    </row>
    <row r="82" spans="1:3" x14ac:dyDescent="0.25">
      <c r="B82" s="17">
        <v>21</v>
      </c>
      <c r="C82" s="13">
        <f t="shared" si="0"/>
        <v>794.44687163485526</v>
      </c>
    </row>
    <row r="83" spans="1:3" x14ac:dyDescent="0.25">
      <c r="B83" s="17">
        <v>22.5</v>
      </c>
      <c r="C83" s="13">
        <f t="shared" si="0"/>
        <v>802.91161221100617</v>
      </c>
    </row>
    <row r="84" spans="1:3" x14ac:dyDescent="0.25">
      <c r="B84" s="17">
        <v>24</v>
      </c>
      <c r="C84" s="13">
        <f t="shared" si="0"/>
        <v>575.60235917826833</v>
      </c>
    </row>
    <row r="85" spans="1:3" x14ac:dyDescent="0.25">
      <c r="B85" s="17">
        <v>25.5</v>
      </c>
      <c r="C85" s="13">
        <f t="shared" si="0"/>
        <v>595.52546809530656</v>
      </c>
    </row>
    <row r="86" spans="1:3" x14ac:dyDescent="0.25">
      <c r="B86" s="17">
        <v>27</v>
      </c>
      <c r="C86" s="13">
        <f t="shared" si="0"/>
        <v>572.09258869547398</v>
      </c>
    </row>
    <row r="87" spans="1:3" x14ac:dyDescent="0.25">
      <c r="B87" s="17">
        <v>28.5</v>
      </c>
      <c r="C87" s="13">
        <f t="shared" si="0"/>
        <v>465.56073168830522</v>
      </c>
    </row>
    <row r="88" spans="1:3" x14ac:dyDescent="0.25">
      <c r="B88" s="17">
        <v>30</v>
      </c>
      <c r="C88" s="13">
        <f t="shared" si="0"/>
        <v>443.98596607348134</v>
      </c>
    </row>
    <row r="89" spans="1:3" x14ac:dyDescent="0.25">
      <c r="B89" s="17">
        <v>31.5</v>
      </c>
      <c r="C89" s="13">
        <f t="shared" si="0"/>
        <v>351.80287662832467</v>
      </c>
    </row>
    <row r="90" spans="1:3" x14ac:dyDescent="0.25">
      <c r="B90" s="17">
        <v>33</v>
      </c>
      <c r="C90" s="13">
        <f t="shared" si="0"/>
        <v>374.30669913565299</v>
      </c>
    </row>
    <row r="91" spans="1:3" x14ac:dyDescent="0.25">
      <c r="B91" s="17">
        <v>34.5</v>
      </c>
      <c r="C91" s="13">
        <f t="shared" si="0"/>
        <v>293.99489220583001</v>
      </c>
    </row>
    <row r="92" spans="1:3" x14ac:dyDescent="0.25">
      <c r="B92" s="17">
        <v>36</v>
      </c>
      <c r="C92" s="13">
        <f t="shared" si="0"/>
        <v>311.33728753257844</v>
      </c>
    </row>
    <row r="93" spans="1:3" x14ac:dyDescent="0.25">
      <c r="B93" s="17">
        <v>37.5</v>
      </c>
      <c r="C93" s="13">
        <f t="shared" si="0"/>
        <v>294.40780638027638</v>
      </c>
    </row>
    <row r="94" spans="1:3" x14ac:dyDescent="0.25">
      <c r="B94" s="17">
        <v>39</v>
      </c>
      <c r="C94" s="13">
        <f t="shared" si="0"/>
        <v>282.63975240855427</v>
      </c>
    </row>
    <row r="95" spans="1:3" x14ac:dyDescent="0.25">
      <c r="A95" t="s">
        <v>9</v>
      </c>
      <c r="B95" s="3">
        <v>0</v>
      </c>
    </row>
    <row r="96" spans="1:3" x14ac:dyDescent="0.25">
      <c r="B96" s="17">
        <v>1.5</v>
      </c>
      <c r="C96">
        <f t="shared" ref="C96:C121" si="1">C69/C$5/($B69-$B68)</f>
        <v>279440.99749236088</v>
      </c>
    </row>
    <row r="97" spans="2:3" x14ac:dyDescent="0.25">
      <c r="B97" s="17">
        <v>3</v>
      </c>
      <c r="C97">
        <f t="shared" si="1"/>
        <v>64680.828943913046</v>
      </c>
    </row>
    <row r="98" spans="2:3" x14ac:dyDescent="0.25">
      <c r="B98" s="17">
        <v>4.5</v>
      </c>
      <c r="C98">
        <f t="shared" si="1"/>
        <v>19093.019009267271</v>
      </c>
    </row>
    <row r="99" spans="2:3" x14ac:dyDescent="0.25">
      <c r="B99" s="17">
        <v>6</v>
      </c>
      <c r="C99">
        <f t="shared" si="1"/>
        <v>9017.9526802779728</v>
      </c>
    </row>
    <row r="100" spans="2:3" x14ac:dyDescent="0.25">
      <c r="B100" s="17">
        <v>7.5</v>
      </c>
      <c r="C100">
        <f t="shared" si="1"/>
        <v>5331.8483612301998</v>
      </c>
    </row>
    <row r="101" spans="2:3" x14ac:dyDescent="0.25">
      <c r="B101" s="17">
        <v>9</v>
      </c>
      <c r="C101">
        <f t="shared" si="1"/>
        <v>3574.1097282362593</v>
      </c>
    </row>
    <row r="102" spans="2:3" x14ac:dyDescent="0.25">
      <c r="B102" s="17">
        <v>10.5</v>
      </c>
      <c r="C102">
        <f t="shared" si="1"/>
        <v>2449.964022965692</v>
      </c>
    </row>
    <row r="103" spans="2:3" x14ac:dyDescent="0.25">
      <c r="B103" s="17">
        <v>12</v>
      </c>
      <c r="C103">
        <f t="shared" si="1"/>
        <v>1845.3579305111828</v>
      </c>
    </row>
    <row r="104" spans="2:3" x14ac:dyDescent="0.25">
      <c r="B104" s="17">
        <v>13.5</v>
      </c>
      <c r="C104">
        <f t="shared" si="1"/>
        <v>1474.1288015565478</v>
      </c>
    </row>
    <row r="105" spans="2:3" x14ac:dyDescent="0.25">
      <c r="B105" s="17">
        <v>15</v>
      </c>
      <c r="C105">
        <f t="shared" si="1"/>
        <v>1196.5304444788917</v>
      </c>
    </row>
    <row r="106" spans="2:3" x14ac:dyDescent="0.25">
      <c r="B106" s="17">
        <v>16.5</v>
      </c>
      <c r="C106">
        <f t="shared" si="1"/>
        <v>1011.5746717122303</v>
      </c>
    </row>
    <row r="107" spans="2:3" x14ac:dyDescent="0.25">
      <c r="B107" s="17">
        <v>18</v>
      </c>
      <c r="C107">
        <f t="shared" si="1"/>
        <v>906.41504489877218</v>
      </c>
    </row>
    <row r="108" spans="2:3" x14ac:dyDescent="0.25">
      <c r="B108" s="17">
        <v>19.5</v>
      </c>
      <c r="C108">
        <f t="shared" si="1"/>
        <v>766.33945742054823</v>
      </c>
    </row>
    <row r="109" spans="2:3" x14ac:dyDescent="0.25">
      <c r="B109" s="17">
        <v>21</v>
      </c>
      <c r="C109">
        <f t="shared" si="1"/>
        <v>633.75762565103582</v>
      </c>
    </row>
    <row r="110" spans="2:3" x14ac:dyDescent="0.25">
      <c r="B110" s="17">
        <v>22.5</v>
      </c>
      <c r="C110">
        <f t="shared" si="1"/>
        <v>640.51024068525942</v>
      </c>
    </row>
    <row r="111" spans="2:3" x14ac:dyDescent="0.25">
      <c r="B111" s="17">
        <v>24</v>
      </c>
      <c r="C111">
        <f t="shared" si="1"/>
        <v>459.17782232720583</v>
      </c>
    </row>
    <row r="112" spans="2:3" x14ac:dyDescent="0.25">
      <c r="B112" s="17">
        <v>25.5</v>
      </c>
      <c r="C112">
        <f t="shared" si="1"/>
        <v>475.07117234678088</v>
      </c>
    </row>
    <row r="113" spans="1:3" x14ac:dyDescent="0.25">
      <c r="B113" s="17">
        <v>27</v>
      </c>
      <c r="C113">
        <f t="shared" si="1"/>
        <v>456.37795755691792</v>
      </c>
    </row>
    <row r="114" spans="1:3" x14ac:dyDescent="0.25">
      <c r="B114" s="17">
        <v>28.5</v>
      </c>
      <c r="C114">
        <f t="shared" si="1"/>
        <v>371.39382688229881</v>
      </c>
    </row>
    <row r="115" spans="1:3" x14ac:dyDescent="0.25">
      <c r="B115" s="17">
        <v>30</v>
      </c>
      <c r="C115">
        <f t="shared" si="1"/>
        <v>354.18289344141181</v>
      </c>
    </row>
    <row r="116" spans="1:3" x14ac:dyDescent="0.25">
      <c r="B116" s="17">
        <v>31.5</v>
      </c>
      <c r="C116">
        <f t="shared" si="1"/>
        <v>280.64526873943998</v>
      </c>
    </row>
    <row r="117" spans="1:3" x14ac:dyDescent="0.25">
      <c r="B117" s="17">
        <v>33</v>
      </c>
      <c r="C117">
        <f t="shared" si="1"/>
        <v>298.597342854815</v>
      </c>
    </row>
    <row r="118" spans="1:3" x14ac:dyDescent="0.25">
      <c r="B118" s="17">
        <v>34.5</v>
      </c>
      <c r="C118">
        <f t="shared" si="1"/>
        <v>234.52984899352262</v>
      </c>
    </row>
    <row r="119" spans="1:3" x14ac:dyDescent="0.25">
      <c r="B119" s="17">
        <v>36</v>
      </c>
      <c r="C119">
        <f t="shared" si="1"/>
        <v>248.36447491729788</v>
      </c>
    </row>
    <row r="120" spans="1:3" x14ac:dyDescent="0.25">
      <c r="B120" s="17">
        <v>37.5</v>
      </c>
      <c r="C120">
        <f t="shared" si="1"/>
        <v>234.85924484885061</v>
      </c>
    </row>
    <row r="121" spans="1:3" x14ac:dyDescent="0.25">
      <c r="B121" s="17">
        <v>39</v>
      </c>
      <c r="C121">
        <f t="shared" si="1"/>
        <v>225.47146297200314</v>
      </c>
    </row>
    <row r="122" spans="1:3" x14ac:dyDescent="0.25">
      <c r="A122" t="s">
        <v>11</v>
      </c>
      <c r="B122" s="3">
        <v>0</v>
      </c>
    </row>
    <row r="123" spans="1:3" x14ac:dyDescent="0.25">
      <c r="B123" s="17">
        <v>1.5</v>
      </c>
      <c r="C123" s="13">
        <f t="shared" ref="C123:C148" si="2">IF(C96&gt;0,LOG10(C96),"")</f>
        <v>5.4462901228895921</v>
      </c>
    </row>
    <row r="124" spans="1:3" x14ac:dyDescent="0.25">
      <c r="B124" s="17">
        <v>3</v>
      </c>
      <c r="C124" s="13">
        <f t="shared" si="2"/>
        <v>4.8107755771505714</v>
      </c>
    </row>
    <row r="125" spans="1:3" x14ac:dyDescent="0.25">
      <c r="B125" s="17">
        <v>4.5</v>
      </c>
      <c r="C125" s="13">
        <f t="shared" si="2"/>
        <v>4.2808746049468756</v>
      </c>
    </row>
    <row r="126" spans="1:3" x14ac:dyDescent="0.25">
      <c r="B126" s="17">
        <v>6</v>
      </c>
      <c r="C126" s="13">
        <f t="shared" si="2"/>
        <v>3.955107952111816</v>
      </c>
    </row>
    <row r="127" spans="1:3" x14ac:dyDescent="0.25">
      <c r="B127" s="17">
        <v>7.5</v>
      </c>
      <c r="C127" s="13">
        <f t="shared" si="2"/>
        <v>3.7268777895007421</v>
      </c>
    </row>
    <row r="128" spans="1:3" x14ac:dyDescent="0.25">
      <c r="B128" s="17">
        <v>9</v>
      </c>
      <c r="C128" s="13">
        <f t="shared" si="2"/>
        <v>3.5531678815876426</v>
      </c>
    </row>
    <row r="129" spans="2:3" x14ac:dyDescent="0.25">
      <c r="B129" s="17">
        <v>10.5</v>
      </c>
      <c r="C129" s="13">
        <f t="shared" si="2"/>
        <v>3.389159706918738</v>
      </c>
    </row>
    <row r="130" spans="2:3" x14ac:dyDescent="0.25">
      <c r="B130" s="17">
        <v>12</v>
      </c>
      <c r="C130" s="13">
        <f t="shared" si="2"/>
        <v>3.2660806155733755</v>
      </c>
    </row>
    <row r="131" spans="2:3" x14ac:dyDescent="0.25">
      <c r="B131" s="17">
        <v>13.5</v>
      </c>
      <c r="C131" s="13">
        <f t="shared" si="2"/>
        <v>3.1685354315294258</v>
      </c>
    </row>
    <row r="132" spans="2:3" x14ac:dyDescent="0.25">
      <c r="B132" s="17">
        <v>15</v>
      </c>
      <c r="C132" s="13">
        <f t="shared" si="2"/>
        <v>3.0779237532636872</v>
      </c>
    </row>
    <row r="133" spans="2:3" x14ac:dyDescent="0.25">
      <c r="B133" s="17">
        <v>16.5</v>
      </c>
      <c r="C133" s="13">
        <f t="shared" si="2"/>
        <v>3.004997946736697</v>
      </c>
    </row>
    <row r="134" spans="2:3" x14ac:dyDescent="0.25">
      <c r="B134" s="17">
        <v>18</v>
      </c>
      <c r="C134" s="13">
        <f t="shared" si="2"/>
        <v>2.957327105441276</v>
      </c>
    </row>
    <row r="135" spans="2:3" x14ac:dyDescent="0.25">
      <c r="B135" s="17">
        <v>19.5</v>
      </c>
      <c r="C135" s="13">
        <f t="shared" si="2"/>
        <v>2.8844211871629142</v>
      </c>
    </row>
    <row r="136" spans="2:3" x14ac:dyDescent="0.25">
      <c r="B136" s="17">
        <v>21</v>
      </c>
      <c r="C136" s="13">
        <f t="shared" si="2"/>
        <v>2.8019231979954222</v>
      </c>
    </row>
    <row r="137" spans="2:3" x14ac:dyDescent="0.25">
      <c r="B137" s="17">
        <v>22.5</v>
      </c>
      <c r="C137" s="13">
        <f t="shared" si="2"/>
        <v>2.8065260777771064</v>
      </c>
    </row>
    <row r="138" spans="2:3" x14ac:dyDescent="0.25">
      <c r="B138" s="17">
        <v>24</v>
      </c>
      <c r="C138" s="13">
        <f t="shared" si="2"/>
        <v>2.6619809040556186</v>
      </c>
    </row>
    <row r="139" spans="2:3" x14ac:dyDescent="0.25">
      <c r="B139" s="17">
        <v>25.5</v>
      </c>
      <c r="C139" s="13">
        <f t="shared" si="2"/>
        <v>2.6767586779238077</v>
      </c>
    </row>
    <row r="140" spans="2:3" x14ac:dyDescent="0.25">
      <c r="B140" s="17">
        <v>27</v>
      </c>
      <c r="C140" s="13">
        <f t="shared" si="2"/>
        <v>2.6593246604118783</v>
      </c>
    </row>
    <row r="141" spans="2:3" x14ac:dyDescent="0.25">
      <c r="B141" s="17">
        <v>28.5</v>
      </c>
      <c r="C141" s="13">
        <f t="shared" si="2"/>
        <v>2.5698346808436261</v>
      </c>
    </row>
    <row r="142" spans="2:3" x14ac:dyDescent="0.25">
      <c r="B142" s="17">
        <v>30</v>
      </c>
      <c r="C142" s="13">
        <f t="shared" si="2"/>
        <v>2.5492275815197574</v>
      </c>
    </row>
    <row r="143" spans="2:3" x14ac:dyDescent="0.25">
      <c r="B143" s="17">
        <v>31.5</v>
      </c>
      <c r="C143" s="13">
        <f t="shared" si="2"/>
        <v>2.4481577250603279</v>
      </c>
    </row>
    <row r="144" spans="2:3" x14ac:dyDescent="0.25">
      <c r="B144" s="17">
        <v>33</v>
      </c>
      <c r="C144" s="13">
        <f t="shared" si="2"/>
        <v>2.4750859387251554</v>
      </c>
    </row>
    <row r="145" spans="1:3" x14ac:dyDescent="0.25">
      <c r="B145" s="17">
        <v>34.5</v>
      </c>
      <c r="C145" s="13">
        <f t="shared" si="2"/>
        <v>2.3701981239304843</v>
      </c>
    </row>
    <row r="146" spans="1:3" x14ac:dyDescent="0.25">
      <c r="B146" s="17">
        <v>36</v>
      </c>
      <c r="C146" s="13">
        <f t="shared" si="2"/>
        <v>2.3950894761634021</v>
      </c>
    </row>
    <row r="147" spans="1:3" x14ac:dyDescent="0.25">
      <c r="B147" s="17">
        <v>37.5</v>
      </c>
      <c r="C147" s="13">
        <f t="shared" si="2"/>
        <v>2.3708076601454935</v>
      </c>
    </row>
    <row r="148" spans="1:3" x14ac:dyDescent="0.25">
      <c r="B148" s="13">
        <v>39</v>
      </c>
      <c r="C148" s="13">
        <f t="shared" si="2"/>
        <v>2.3530915827636369</v>
      </c>
    </row>
    <row r="149" spans="1:3" x14ac:dyDescent="0.25">
      <c r="A149" t="s">
        <v>12</v>
      </c>
      <c r="B149" s="3">
        <v>0</v>
      </c>
    </row>
    <row r="150" spans="1:3" x14ac:dyDescent="0.25">
      <c r="B150" s="17">
        <v>1.5</v>
      </c>
      <c r="C150" s="6">
        <f>IF(C123&lt;&gt;"", RSQ($B123:$B$148, $C123:$C$148),"")</f>
        <v>0.79395798763012415</v>
      </c>
    </row>
    <row r="151" spans="1:3" x14ac:dyDescent="0.25">
      <c r="B151" s="17">
        <v>3</v>
      </c>
      <c r="C151" s="6">
        <f>IF(C124&lt;&gt;"", RSQ($B124:$B$148, $C124:$C$148),"")</f>
        <v>0.84338659201657129</v>
      </c>
    </row>
    <row r="152" spans="1:3" x14ac:dyDescent="0.25">
      <c r="B152" s="17">
        <v>4.5</v>
      </c>
      <c r="C152" s="6">
        <f>IF(C125&lt;&gt;"", RSQ($B125:$B$148, $C125:$C$148),"")</f>
        <v>0.88989294298870547</v>
      </c>
    </row>
    <row r="153" spans="1:3" x14ac:dyDescent="0.25">
      <c r="B153" s="17">
        <v>6</v>
      </c>
      <c r="C153" s="6">
        <f>IF(C126&lt;&gt;"", RSQ($B126:$B$148, $C126:$C$148),"")</f>
        <v>0.91720619284037419</v>
      </c>
    </row>
    <row r="154" spans="1:3" x14ac:dyDescent="0.25">
      <c r="B154" s="17">
        <v>7.5</v>
      </c>
      <c r="C154" s="6">
        <f>IF(C127&lt;&gt;"", RSQ($B127:$B$148, $C127:$C$148),"")</f>
        <v>0.93533280728060697</v>
      </c>
    </row>
    <row r="155" spans="1:3" x14ac:dyDescent="0.25">
      <c r="B155" s="17">
        <v>9</v>
      </c>
      <c r="C155" s="6">
        <f>IF(C128&lt;&gt;"", RSQ($B128:$B$148, $C128:$C$148),"")</f>
        <v>0.94883358211445767</v>
      </c>
    </row>
    <row r="156" spans="1:3" x14ac:dyDescent="0.25">
      <c r="B156" s="17">
        <v>10.5</v>
      </c>
      <c r="C156" s="16">
        <f>IF(C129&lt;&gt;"", RSQ($B129:$B$148, $C129:$C$148),"")</f>
        <v>0.9602533252714579</v>
      </c>
    </row>
    <row r="157" spans="1:3" x14ac:dyDescent="0.25">
      <c r="B157" s="17">
        <v>12</v>
      </c>
      <c r="C157" s="16">
        <f>IF(C130&lt;&gt;"", RSQ($B130:$B$148, $C130:$C$148),"")</f>
        <v>0.96580264460734688</v>
      </c>
    </row>
    <row r="158" spans="1:3" x14ac:dyDescent="0.25">
      <c r="B158" s="17">
        <v>13.5</v>
      </c>
      <c r="C158" s="15">
        <f>IF(C131&lt;&gt;"", RSQ($B131:$B$148, $C131:$C$148),"")</f>
        <v>0.96788142923054787</v>
      </c>
    </row>
    <row r="159" spans="1:3" x14ac:dyDescent="0.25">
      <c r="B159" s="17">
        <v>15</v>
      </c>
      <c r="C159" s="6">
        <f>IF(C132&lt;&gt;"", RSQ($B132:$B$148, $C132:$C$148),"")</f>
        <v>0.96784809067919952</v>
      </c>
    </row>
    <row r="160" spans="1:3" x14ac:dyDescent="0.25">
      <c r="B160" s="17">
        <v>16.5</v>
      </c>
      <c r="C160" s="6">
        <f>IF(C133&lt;&gt;"", RSQ($B133:$B$148, $C133:$C$148),"")</f>
        <v>0.96483116889712028</v>
      </c>
    </row>
    <row r="161" spans="1:3" x14ac:dyDescent="0.25">
      <c r="B161" s="17">
        <v>18</v>
      </c>
      <c r="C161" s="6">
        <f>IF(C134&lt;&gt;"", RSQ($B134:$B$148, $C134:$C$148),"")</f>
        <v>0.95958600996453514</v>
      </c>
    </row>
    <row r="162" spans="1:3" x14ac:dyDescent="0.25">
      <c r="B162" s="17">
        <v>19.5</v>
      </c>
      <c r="C162" s="6">
        <f>IF(C135&lt;&gt;"", RSQ($B135:$B$148, $C135:$C$148),"")</f>
        <v>0.95518843301866807</v>
      </c>
    </row>
    <row r="163" spans="1:3" x14ac:dyDescent="0.25">
      <c r="B163" s="17">
        <v>21</v>
      </c>
      <c r="C163" s="6">
        <f>IF(C136&lt;&gt;"", RSQ($B136:$B$148, $C136:$C$148),"")</f>
        <v>0.94683835882159206</v>
      </c>
    </row>
    <row r="164" spans="1:3" x14ac:dyDescent="0.25">
      <c r="B164" s="17">
        <v>22.5</v>
      </c>
      <c r="C164" s="6">
        <f>IF(C137&lt;&gt;"", RSQ($B137:$B$148, $C137:$C$148),"")</f>
        <v>0.9323888609268296</v>
      </c>
    </row>
    <row r="165" spans="1:3" x14ac:dyDescent="0.25">
      <c r="B165" s="17">
        <v>24</v>
      </c>
      <c r="C165" s="6">
        <f>IF(C138&lt;&gt;"", RSQ($B138:$B$148, $C138:$C$148),"")</f>
        <v>0.92754977407062111</v>
      </c>
    </row>
    <row r="166" spans="1:3" x14ac:dyDescent="0.25">
      <c r="B166" s="17">
        <v>25.5</v>
      </c>
      <c r="C166" s="6">
        <f>IF(C139&lt;&gt;"", RSQ($B139:$B$148, $C139:$C$148),"")</f>
        <v>0.91864984483742507</v>
      </c>
    </row>
    <row r="167" spans="1:3" x14ac:dyDescent="0.25">
      <c r="B167" s="17">
        <v>27</v>
      </c>
      <c r="C167" s="6">
        <f>IF(C140&lt;&gt;"", RSQ($B140:$B$148, $C140:$C$148),"")</f>
        <v>0.88823769255901941</v>
      </c>
    </row>
    <row r="168" spans="1:3" x14ac:dyDescent="0.25">
      <c r="B168" s="17">
        <v>28.5</v>
      </c>
      <c r="C168" s="6">
        <f>IF(C141&lt;&gt;"", RSQ($B141:$B$148, $C141:$C$148),"")</f>
        <v>0.86294142709321819</v>
      </c>
    </row>
    <row r="169" spans="1:3" x14ac:dyDescent="0.25">
      <c r="B169" s="17">
        <v>30</v>
      </c>
      <c r="C169" s="6">
        <f>IF(C142&lt;&gt;"", RSQ($B142:$B$148, $C142:$C$148),"")</f>
        <v>0.79443495181259549</v>
      </c>
    </row>
    <row r="170" spans="1:3" x14ac:dyDescent="0.25">
      <c r="B170" s="17">
        <v>31.5</v>
      </c>
      <c r="C170" s="6">
        <f>IF(C143&lt;&gt;"", RSQ($B143:$B$148, $C143:$C$148),"")</f>
        <v>0.69960996935832598</v>
      </c>
    </row>
    <row r="171" spans="1:3" x14ac:dyDescent="0.25">
      <c r="B171" s="17">
        <v>33</v>
      </c>
      <c r="C171" s="6">
        <f>IF(C144&lt;&gt;"", RSQ($B144:$B$148, $C144:$C$148),"")</f>
        <v>0.63368409980262463</v>
      </c>
    </row>
    <row r="172" spans="1:3" x14ac:dyDescent="0.25">
      <c r="B172" s="17">
        <v>34.5</v>
      </c>
      <c r="C172" s="6">
        <f>IF(C145&lt;&gt;"", RSQ($B145:$B$148, $C145:$C$148),"")</f>
        <v>0.3193172762805071</v>
      </c>
    </row>
    <row r="173" spans="1:3" x14ac:dyDescent="0.25">
      <c r="B173" s="17">
        <v>36</v>
      </c>
      <c r="C173" s="6">
        <f>IF(C146&lt;&gt;"", RSQ($B146:$B$148, $C146:$C$148),"")</f>
        <v>0.99191896280458747</v>
      </c>
    </row>
    <row r="174" spans="1:3" x14ac:dyDescent="0.25">
      <c r="B174" s="17">
        <v>37.5</v>
      </c>
      <c r="C174" s="6">
        <f>IF(C147&lt;&gt;"", RSQ($B147:$B$148, $C147:$C$148),"")</f>
        <v>1.0000000000000004</v>
      </c>
    </row>
    <row r="175" spans="1:3" x14ac:dyDescent="0.25">
      <c r="B175" s="13">
        <v>39</v>
      </c>
      <c r="C175" s="6"/>
    </row>
    <row r="176" spans="1:3" x14ac:dyDescent="0.25">
      <c r="A176" t="s">
        <v>16</v>
      </c>
      <c r="C176">
        <v>135</v>
      </c>
    </row>
    <row r="177" spans="1:3" x14ac:dyDescent="0.25">
      <c r="A177" t="s">
        <v>13</v>
      </c>
      <c r="B177" s="3">
        <v>0</v>
      </c>
    </row>
    <row r="178" spans="1:3" x14ac:dyDescent="0.25">
      <c r="B178" s="17">
        <v>1.5</v>
      </c>
    </row>
    <row r="179" spans="1:3" x14ac:dyDescent="0.25">
      <c r="B179" s="17">
        <v>3</v>
      </c>
      <c r="C179" s="6">
        <f>RSQ($B$123:$B124, $C$123:$C124)</f>
        <v>1</v>
      </c>
    </row>
    <row r="180" spans="1:3" x14ac:dyDescent="0.25">
      <c r="B180" s="17">
        <v>4.5</v>
      </c>
      <c r="C180" s="6">
        <f>RSQ($B$123:$B125, $C$123:$C125)</f>
        <v>0.99726995777818039</v>
      </c>
    </row>
    <row r="181" spans="1:3" x14ac:dyDescent="0.25">
      <c r="B181" s="17">
        <v>6</v>
      </c>
      <c r="C181" s="6">
        <f>RSQ($B$123:$B126, $C$123:$C126)</f>
        <v>0.98082483884297811</v>
      </c>
    </row>
    <row r="182" spans="1:3" x14ac:dyDescent="0.25">
      <c r="B182" s="17">
        <v>7.5</v>
      </c>
      <c r="C182" s="6">
        <f>RSQ($B$123:$B127, $C$123:$C127)</f>
        <v>0.96105626588088555</v>
      </c>
    </row>
    <row r="183" spans="1:3" x14ac:dyDescent="0.25">
      <c r="B183" s="17">
        <v>9</v>
      </c>
      <c r="C183" s="6">
        <f>RSQ($B$123:$B128, $C$123:$C128)</f>
        <v>0.94187272030435631</v>
      </c>
    </row>
    <row r="184" spans="1:3" x14ac:dyDescent="0.25">
      <c r="B184" s="17">
        <v>10.5</v>
      </c>
      <c r="C184" s="6"/>
    </row>
    <row r="185" spans="1:3" x14ac:dyDescent="0.25">
      <c r="B185" s="17">
        <v>12</v>
      </c>
      <c r="C185" s="6"/>
    </row>
    <row r="186" spans="1:3" x14ac:dyDescent="0.25">
      <c r="B186" s="17">
        <v>13.5</v>
      </c>
      <c r="C186" s="6"/>
    </row>
    <row r="187" spans="1:3" x14ac:dyDescent="0.25">
      <c r="B187" s="17">
        <v>15</v>
      </c>
      <c r="C187" s="6"/>
    </row>
    <row r="188" spans="1:3" x14ac:dyDescent="0.25">
      <c r="B188" s="17">
        <v>16.5</v>
      </c>
      <c r="C188" s="7"/>
    </row>
    <row r="189" spans="1:3" x14ac:dyDescent="0.25">
      <c r="B189" s="17">
        <v>18</v>
      </c>
      <c r="C189" s="6"/>
    </row>
    <row r="190" spans="1:3" x14ac:dyDescent="0.25">
      <c r="B190" s="17">
        <v>19.5</v>
      </c>
    </row>
    <row r="191" spans="1:3" x14ac:dyDescent="0.25">
      <c r="B191" s="17">
        <v>21</v>
      </c>
    </row>
    <row r="192" spans="1:3" x14ac:dyDescent="0.25">
      <c r="B192" s="17">
        <v>22.5</v>
      </c>
    </row>
    <row r="193" spans="1:3" x14ac:dyDescent="0.25">
      <c r="B193" s="17">
        <v>24</v>
      </c>
    </row>
    <row r="194" spans="1:3" x14ac:dyDescent="0.25">
      <c r="B194" s="17">
        <v>25.5</v>
      </c>
    </row>
    <row r="195" spans="1:3" x14ac:dyDescent="0.25">
      <c r="B195" s="17">
        <v>27</v>
      </c>
    </row>
    <row r="196" spans="1:3" x14ac:dyDescent="0.25">
      <c r="B196" s="17">
        <v>28.5</v>
      </c>
    </row>
    <row r="197" spans="1:3" x14ac:dyDescent="0.25">
      <c r="B197" s="17">
        <v>30</v>
      </c>
    </row>
    <row r="198" spans="1:3" x14ac:dyDescent="0.25">
      <c r="B198" s="17">
        <v>31.5</v>
      </c>
    </row>
    <row r="199" spans="1:3" x14ac:dyDescent="0.25">
      <c r="B199" s="17">
        <v>33</v>
      </c>
    </row>
    <row r="200" spans="1:3" x14ac:dyDescent="0.25">
      <c r="B200" s="17">
        <v>34.5</v>
      </c>
    </row>
    <row r="201" spans="1:3" x14ac:dyDescent="0.25">
      <c r="B201" s="17">
        <v>36</v>
      </c>
    </row>
    <row r="202" spans="1:3" x14ac:dyDescent="0.25">
      <c r="B202" s="17">
        <v>37.5</v>
      </c>
    </row>
    <row r="203" spans="1:3" x14ac:dyDescent="0.25">
      <c r="B203" s="13">
        <v>39</v>
      </c>
    </row>
    <row r="204" spans="1:3" x14ac:dyDescent="0.25">
      <c r="A204" t="s">
        <v>17</v>
      </c>
      <c r="B204" s="3">
        <v>0</v>
      </c>
    </row>
    <row r="205" spans="1:3" x14ac:dyDescent="0.25">
      <c r="B205" s="17">
        <v>1.5</v>
      </c>
    </row>
    <row r="206" spans="1:3" x14ac:dyDescent="0.25">
      <c r="B206" s="17">
        <v>3</v>
      </c>
    </row>
    <row r="207" spans="1:3" x14ac:dyDescent="0.25">
      <c r="B207" s="17">
        <v>4.5</v>
      </c>
      <c r="C207" s="13">
        <f>RSQ($B125:$B$130, C125:C$130)</f>
        <v>0.97124888324967928</v>
      </c>
    </row>
    <row r="208" spans="1:3" x14ac:dyDescent="0.25">
      <c r="B208" s="17">
        <v>6</v>
      </c>
      <c r="C208" s="13">
        <f>RSQ($B126:$B$130, C126:C$130)</f>
        <v>0.98805706068579024</v>
      </c>
    </row>
    <row r="209" spans="2:3" x14ac:dyDescent="0.25">
      <c r="B209" s="17">
        <v>7.5</v>
      </c>
      <c r="C209" s="13">
        <f>RSQ($B127:$B$130, C127:C$130)</f>
        <v>0.99426539863066077</v>
      </c>
    </row>
    <row r="210" spans="2:3" x14ac:dyDescent="0.25">
      <c r="B210" s="17">
        <v>9</v>
      </c>
      <c r="C210" s="13">
        <f>RSQ($B128:$B$130, C128:C$130)</f>
        <v>0.99327050520081084</v>
      </c>
    </row>
    <row r="211" spans="2:3" x14ac:dyDescent="0.25">
      <c r="B211" s="17">
        <v>10.5</v>
      </c>
      <c r="C211">
        <f>RSQ($B129:$B$130, C129:C$130)</f>
        <v>1.0000000000000004</v>
      </c>
    </row>
    <row r="212" spans="2:3" x14ac:dyDescent="0.25">
      <c r="B212" s="17">
        <v>12</v>
      </c>
    </row>
    <row r="213" spans="2:3" x14ac:dyDescent="0.25">
      <c r="B213" s="17">
        <v>13.5</v>
      </c>
    </row>
    <row r="214" spans="2:3" x14ac:dyDescent="0.25">
      <c r="B214" s="17">
        <v>15</v>
      </c>
      <c r="C214" s="14"/>
    </row>
    <row r="215" spans="2:3" x14ac:dyDescent="0.25">
      <c r="B215" s="17">
        <v>16.5</v>
      </c>
      <c r="C215" s="8"/>
    </row>
    <row r="216" spans="2:3" x14ac:dyDescent="0.25">
      <c r="B216" s="17">
        <v>18</v>
      </c>
    </row>
    <row r="217" spans="2:3" x14ac:dyDescent="0.25">
      <c r="B217" s="17">
        <v>19.5</v>
      </c>
    </row>
    <row r="218" spans="2:3" x14ac:dyDescent="0.25">
      <c r="B218" s="17">
        <v>21</v>
      </c>
    </row>
    <row r="219" spans="2:3" x14ac:dyDescent="0.25">
      <c r="B219" s="17">
        <v>22.5</v>
      </c>
    </row>
    <row r="220" spans="2:3" x14ac:dyDescent="0.25">
      <c r="B220" s="17">
        <v>24</v>
      </c>
    </row>
    <row r="221" spans="2:3" x14ac:dyDescent="0.25">
      <c r="B221" s="17">
        <v>25.5</v>
      </c>
    </row>
    <row r="222" spans="2:3" x14ac:dyDescent="0.25">
      <c r="B222" s="17">
        <v>27</v>
      </c>
    </row>
    <row r="223" spans="2:3" x14ac:dyDescent="0.25">
      <c r="B223" s="17">
        <v>28.5</v>
      </c>
    </row>
    <row r="224" spans="2:3" x14ac:dyDescent="0.25">
      <c r="B224" s="17">
        <v>30</v>
      </c>
    </row>
    <row r="225" spans="1:3" x14ac:dyDescent="0.25">
      <c r="B225" s="17">
        <v>31.5</v>
      </c>
    </row>
    <row r="226" spans="1:3" x14ac:dyDescent="0.25">
      <c r="B226" s="17">
        <v>33</v>
      </c>
    </row>
    <row r="227" spans="1:3" x14ac:dyDescent="0.25">
      <c r="B227" s="17">
        <v>34.5</v>
      </c>
    </row>
    <row r="228" spans="1:3" x14ac:dyDescent="0.25">
      <c r="B228" s="17">
        <v>36</v>
      </c>
    </row>
    <row r="229" spans="1:3" x14ac:dyDescent="0.25">
      <c r="B229" s="17">
        <v>37.5</v>
      </c>
    </row>
    <row r="230" spans="1:3" x14ac:dyDescent="0.25">
      <c r="B230" s="13">
        <v>39</v>
      </c>
    </row>
    <row r="231" spans="1:3" x14ac:dyDescent="0.25">
      <c r="A231" t="s">
        <v>14</v>
      </c>
      <c r="B231" s="3">
        <v>0</v>
      </c>
    </row>
    <row r="232" spans="1:3" x14ac:dyDescent="0.25">
      <c r="B232" s="17">
        <v>1.5</v>
      </c>
    </row>
    <row r="233" spans="1:3" x14ac:dyDescent="0.25">
      <c r="B233" s="17">
        <v>3</v>
      </c>
    </row>
    <row r="234" spans="1:3" x14ac:dyDescent="0.25">
      <c r="B234" s="17">
        <v>4.5</v>
      </c>
      <c r="C234" s="15">
        <f>SUM(C179,C207)</f>
        <v>1.9712488832496793</v>
      </c>
    </row>
    <row r="235" spans="1:3" x14ac:dyDescent="0.25">
      <c r="B235" s="17">
        <v>6</v>
      </c>
      <c r="C235" s="15">
        <f t="shared" ref="C235:C238" si="3">SUM(C180,C208)</f>
        <v>1.9853270184639706</v>
      </c>
    </row>
    <row r="236" spans="1:3" x14ac:dyDescent="0.25">
      <c r="B236" s="17">
        <v>7.5</v>
      </c>
      <c r="C236" s="15">
        <f t="shared" si="3"/>
        <v>1.9750902374736388</v>
      </c>
    </row>
    <row r="237" spans="1:3" x14ac:dyDescent="0.25">
      <c r="B237" s="17">
        <v>9</v>
      </c>
      <c r="C237" s="15">
        <f t="shared" si="3"/>
        <v>1.9543267710816963</v>
      </c>
    </row>
    <row r="238" spans="1:3" x14ac:dyDescent="0.25">
      <c r="B238" s="17">
        <v>10.5</v>
      </c>
      <c r="C238" s="15">
        <f t="shared" si="3"/>
        <v>1.9418727203043566</v>
      </c>
    </row>
    <row r="239" spans="1:3" x14ac:dyDescent="0.25">
      <c r="B239" s="17">
        <v>12</v>
      </c>
      <c r="C239" s="15"/>
    </row>
    <row r="240" spans="1:3" x14ac:dyDescent="0.25">
      <c r="B240" s="17">
        <v>13.5</v>
      </c>
      <c r="C240" s="15"/>
    </row>
    <row r="241" spans="2:3" x14ac:dyDescent="0.25">
      <c r="B241" s="17">
        <v>15</v>
      </c>
      <c r="C241" s="15"/>
    </row>
    <row r="242" spans="2:3" x14ac:dyDescent="0.25">
      <c r="B242" s="17">
        <v>16.5</v>
      </c>
      <c r="C242" s="15"/>
    </row>
    <row r="243" spans="2:3" x14ac:dyDescent="0.25">
      <c r="B243" s="17">
        <v>18</v>
      </c>
      <c r="C243" s="15"/>
    </row>
    <row r="244" spans="2:3" x14ac:dyDescent="0.25">
      <c r="B244" s="17">
        <v>19.5</v>
      </c>
    </row>
    <row r="245" spans="2:3" x14ac:dyDescent="0.25">
      <c r="B245" s="17">
        <v>21</v>
      </c>
    </row>
    <row r="246" spans="2:3" x14ac:dyDescent="0.25">
      <c r="B246" s="17">
        <v>22.5</v>
      </c>
    </row>
    <row r="247" spans="2:3" x14ac:dyDescent="0.25">
      <c r="B247" s="17">
        <v>24</v>
      </c>
    </row>
    <row r="248" spans="2:3" x14ac:dyDescent="0.25">
      <c r="B248" s="17">
        <v>25.5</v>
      </c>
    </row>
    <row r="249" spans="2:3" x14ac:dyDescent="0.25">
      <c r="B249" s="17">
        <v>27</v>
      </c>
    </row>
    <row r="250" spans="2:3" x14ac:dyDescent="0.25">
      <c r="B250" s="17">
        <v>28.5</v>
      </c>
    </row>
    <row r="251" spans="2:3" x14ac:dyDescent="0.25">
      <c r="B251" s="17">
        <v>30</v>
      </c>
    </row>
    <row r="252" spans="2:3" x14ac:dyDescent="0.25">
      <c r="B252" s="17">
        <v>31.5</v>
      </c>
    </row>
    <row r="253" spans="2:3" x14ac:dyDescent="0.25">
      <c r="B253" s="17">
        <v>33</v>
      </c>
    </row>
    <row r="254" spans="2:3" x14ac:dyDescent="0.25">
      <c r="B254" s="17">
        <v>34.5</v>
      </c>
    </row>
    <row r="255" spans="2:3" x14ac:dyDescent="0.25">
      <c r="B255" s="17">
        <v>36</v>
      </c>
    </row>
    <row r="256" spans="2:3" x14ac:dyDescent="0.25">
      <c r="B256" s="17">
        <v>37.5</v>
      </c>
    </row>
    <row r="257" spans="1:3" x14ac:dyDescent="0.25">
      <c r="B257" s="13">
        <v>39</v>
      </c>
    </row>
    <row r="258" spans="1:3" x14ac:dyDescent="0.25">
      <c r="A258" t="s">
        <v>15</v>
      </c>
      <c r="C258">
        <f>MAX(C231:C257)</f>
        <v>1.9853270184639706</v>
      </c>
    </row>
    <row r="259" spans="1:3" x14ac:dyDescent="0.25">
      <c r="A259" t="s">
        <v>37</v>
      </c>
      <c r="C259">
        <v>6</v>
      </c>
    </row>
    <row r="260" spans="1:3" x14ac:dyDescent="0.25">
      <c r="A260" t="s">
        <v>32</v>
      </c>
      <c r="B260" s="3">
        <v>0</v>
      </c>
    </row>
    <row r="261" spans="1:3" x14ac:dyDescent="0.25">
      <c r="B261" s="17">
        <v>1.5</v>
      </c>
      <c r="C261" s="13">
        <f t="shared" ref="C261:C270" si="4">IF(0 &lt; 10^C123-10^(C$19*$B261+C$20), LOG(10^C123-10^(C$19*$B261+C$20)), "")</f>
        <v>5.4416473546854913</v>
      </c>
    </row>
    <row r="262" spans="1:3" x14ac:dyDescent="0.25">
      <c r="B262" s="17">
        <v>3</v>
      </c>
      <c r="C262" s="13">
        <f t="shared" si="4"/>
        <v>4.7925378291642673</v>
      </c>
    </row>
    <row r="263" spans="1:3" x14ac:dyDescent="0.25">
      <c r="B263" s="17">
        <v>4.5</v>
      </c>
      <c r="C263" s="13">
        <f t="shared" si="4"/>
        <v>4.2230249125402235</v>
      </c>
    </row>
    <row r="264" spans="1:3" x14ac:dyDescent="0.25">
      <c r="B264" s="17">
        <v>6</v>
      </c>
      <c r="C264" s="13">
        <f t="shared" si="4"/>
        <v>3.837991169787546</v>
      </c>
    </row>
    <row r="265" spans="1:3" x14ac:dyDescent="0.25">
      <c r="B265" s="17">
        <v>7.5</v>
      </c>
      <c r="C265" s="13">
        <f t="shared" si="4"/>
        <v>3.5344960246821699</v>
      </c>
    </row>
    <row r="266" spans="1:3" x14ac:dyDescent="0.25">
      <c r="B266" s="17">
        <v>9</v>
      </c>
      <c r="C266" s="13">
        <f t="shared" si="4"/>
        <v>3.2709044891018371</v>
      </c>
    </row>
    <row r="267" spans="1:3" x14ac:dyDescent="0.25">
      <c r="B267" s="17">
        <v>10.5</v>
      </c>
      <c r="C267" s="13">
        <f t="shared" si="4"/>
        <v>2.9641959958071911</v>
      </c>
    </row>
    <row r="268" spans="1:3" x14ac:dyDescent="0.25">
      <c r="B268" s="17">
        <v>12</v>
      </c>
      <c r="C268" s="13">
        <f t="shared" si="4"/>
        <v>2.6780938343988328</v>
      </c>
    </row>
    <row r="269" spans="1:3" x14ac:dyDescent="0.25">
      <c r="B269" s="17">
        <v>13.5</v>
      </c>
      <c r="C269" s="13">
        <f t="shared" si="4"/>
        <v>2.3958159805121633</v>
      </c>
    </row>
    <row r="270" spans="1:3" x14ac:dyDescent="0.25">
      <c r="B270" s="17">
        <v>15</v>
      </c>
      <c r="C270">
        <f t="shared" si="4"/>
        <v>1.998341365595073</v>
      </c>
    </row>
    <row r="271" spans="1:3" x14ac:dyDescent="0.25">
      <c r="B271" s="17">
        <v>16.5</v>
      </c>
    </row>
    <row r="272" spans="1:3" x14ac:dyDescent="0.25">
      <c r="B272" s="17">
        <v>18</v>
      </c>
    </row>
    <row r="273" spans="1:3" x14ac:dyDescent="0.25">
      <c r="B273" s="17">
        <v>19.5</v>
      </c>
    </row>
    <row r="274" spans="1:3" x14ac:dyDescent="0.25">
      <c r="B274" s="17">
        <v>21</v>
      </c>
    </row>
    <row r="275" spans="1:3" x14ac:dyDescent="0.25">
      <c r="B275" s="17">
        <v>22.5</v>
      </c>
    </row>
    <row r="276" spans="1:3" x14ac:dyDescent="0.25">
      <c r="B276" s="17">
        <v>24</v>
      </c>
    </row>
    <row r="277" spans="1:3" x14ac:dyDescent="0.25">
      <c r="B277" s="17">
        <v>25.5</v>
      </c>
    </row>
    <row r="278" spans="1:3" x14ac:dyDescent="0.25">
      <c r="B278" s="17">
        <v>27</v>
      </c>
    </row>
    <row r="279" spans="1:3" x14ac:dyDescent="0.25">
      <c r="B279" s="17">
        <v>28.5</v>
      </c>
    </row>
    <row r="280" spans="1:3" x14ac:dyDescent="0.25">
      <c r="B280" s="17">
        <v>30</v>
      </c>
    </row>
    <row r="281" spans="1:3" x14ac:dyDescent="0.25">
      <c r="B281" s="17">
        <v>31.5</v>
      </c>
    </row>
    <row r="282" spans="1:3" x14ac:dyDescent="0.25">
      <c r="B282" s="17">
        <v>33</v>
      </c>
    </row>
    <row r="283" spans="1:3" x14ac:dyDescent="0.25">
      <c r="B283" s="17">
        <v>34.5</v>
      </c>
    </row>
    <row r="284" spans="1:3" x14ac:dyDescent="0.25">
      <c r="B284" s="17">
        <v>36</v>
      </c>
    </row>
    <row r="285" spans="1:3" x14ac:dyDescent="0.25">
      <c r="B285" s="17">
        <v>37.5</v>
      </c>
    </row>
    <row r="286" spans="1:3" x14ac:dyDescent="0.25">
      <c r="B286" s="13">
        <v>39</v>
      </c>
    </row>
    <row r="287" spans="1:3" x14ac:dyDescent="0.25">
      <c r="A287" t="s">
        <v>32</v>
      </c>
      <c r="B287" s="3">
        <v>0</v>
      </c>
    </row>
    <row r="288" spans="1:3" x14ac:dyDescent="0.25">
      <c r="B288" s="17">
        <v>1.5</v>
      </c>
      <c r="C288" s="13">
        <f>IF(0&lt;10^C261-10^(C$28*$B288+C$29),LOG(10^C261-10^(C$28*$B288+C$29)),"")</f>
        <v>5.3542971510240926</v>
      </c>
    </row>
    <row r="289" spans="2:3" x14ac:dyDescent="0.25">
      <c r="B289" s="17">
        <v>3</v>
      </c>
      <c r="C289" s="13">
        <f>IF(0&lt;10^C262-10^(C$28*$B289+C$29),LOG(10^C262-10^(C$28*$B289+C$29)),"")</f>
        <v>4.5578481836248166</v>
      </c>
    </row>
    <row r="290" spans="2:3" x14ac:dyDescent="0.25">
      <c r="B290" s="17">
        <v>4.5</v>
      </c>
      <c r="C290" s="13">
        <f>IF(0&lt;10^C263-10^(C$28*$B290+C$29),LOG(10^C263-10^(C$28*$B290+C$29)),"")</f>
        <v>3.5317692453497149</v>
      </c>
    </row>
    <row r="291" spans="2:3" x14ac:dyDescent="0.25">
      <c r="B291" s="17">
        <v>6</v>
      </c>
      <c r="C291" s="13">
        <f>IF(0&lt;10^C264-10^(C$28*$B291+C$29),LOG(10^C264-10^(C$28*$B291+C$29)),"")</f>
        <v>1.6514847295104311</v>
      </c>
    </row>
    <row r="292" spans="2:3" x14ac:dyDescent="0.25">
      <c r="B292" s="17">
        <v>7.5</v>
      </c>
      <c r="C292" s="13" t="str">
        <f>IF(0&lt;10^C265-10^(C$28*$B292+C$29),LOG(10^C265-10^(C$28*$B292+C$29)),"")</f>
        <v/>
      </c>
    </row>
    <row r="293" spans="2:3" x14ac:dyDescent="0.25">
      <c r="B293" s="17">
        <v>9</v>
      </c>
    </row>
    <row r="294" spans="2:3" x14ac:dyDescent="0.25">
      <c r="B294" s="17">
        <v>10.5</v>
      </c>
    </row>
    <row r="295" spans="2:3" x14ac:dyDescent="0.25">
      <c r="B295" s="17">
        <v>12</v>
      </c>
    </row>
    <row r="296" spans="2:3" x14ac:dyDescent="0.25">
      <c r="B296" s="17">
        <v>13.5</v>
      </c>
    </row>
    <row r="297" spans="2:3" x14ac:dyDescent="0.25">
      <c r="B297" s="17">
        <v>15</v>
      </c>
    </row>
    <row r="298" spans="2:3" x14ac:dyDescent="0.25">
      <c r="B298" s="17">
        <v>16.5</v>
      </c>
    </row>
    <row r="299" spans="2:3" x14ac:dyDescent="0.25">
      <c r="B299" s="17">
        <v>18</v>
      </c>
    </row>
    <row r="300" spans="2:3" x14ac:dyDescent="0.25">
      <c r="B300" s="17">
        <v>19.5</v>
      </c>
    </row>
    <row r="301" spans="2:3" x14ac:dyDescent="0.25">
      <c r="B301" s="17">
        <v>21</v>
      </c>
    </row>
    <row r="302" spans="2:3" x14ac:dyDescent="0.25">
      <c r="B302" s="17">
        <v>22.5</v>
      </c>
    </row>
    <row r="303" spans="2:3" x14ac:dyDescent="0.25">
      <c r="B303" s="17">
        <v>24</v>
      </c>
    </row>
    <row r="304" spans="2:3" x14ac:dyDescent="0.25">
      <c r="B304" s="17">
        <v>25.5</v>
      </c>
    </row>
    <row r="305" spans="2:2" x14ac:dyDescent="0.25">
      <c r="B305" s="17">
        <v>27</v>
      </c>
    </row>
    <row r="306" spans="2:2" x14ac:dyDescent="0.25">
      <c r="B306" s="17">
        <v>28.5</v>
      </c>
    </row>
    <row r="307" spans="2:2" x14ac:dyDescent="0.25">
      <c r="B307" s="17">
        <v>30</v>
      </c>
    </row>
    <row r="308" spans="2:2" x14ac:dyDescent="0.25">
      <c r="B308" s="17">
        <v>31.5</v>
      </c>
    </row>
    <row r="309" spans="2:2" x14ac:dyDescent="0.25">
      <c r="B309" s="17">
        <v>33</v>
      </c>
    </row>
    <row r="310" spans="2:2" x14ac:dyDescent="0.25">
      <c r="B310" s="17">
        <v>34.5</v>
      </c>
    </row>
    <row r="311" spans="2:2" x14ac:dyDescent="0.25">
      <c r="B311" s="17">
        <v>36</v>
      </c>
    </row>
    <row r="312" spans="2:2" x14ac:dyDescent="0.25">
      <c r="B312" s="17">
        <v>37.5</v>
      </c>
    </row>
    <row r="313" spans="2:2" x14ac:dyDescent="0.25">
      <c r="B313" s="17">
        <v>39</v>
      </c>
    </row>
  </sheetData>
  <mergeCells count="15">
    <mergeCell ref="A14:A22"/>
    <mergeCell ref="A23:A31"/>
    <mergeCell ref="A32:A40"/>
    <mergeCell ref="A7:B7"/>
    <mergeCell ref="A2:B2"/>
    <mergeCell ref="A3:B3"/>
    <mergeCell ref="A4:B4"/>
    <mergeCell ref="A5:B5"/>
    <mergeCell ref="A6:B6"/>
    <mergeCell ref="A13:B13"/>
    <mergeCell ref="A8:B8"/>
    <mergeCell ref="A9:B9"/>
    <mergeCell ref="A10:B10"/>
    <mergeCell ref="A11:B11"/>
    <mergeCell ref="A12:B1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Answers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</dc:creator>
  <cp:lastModifiedBy>daniel</cp:lastModifiedBy>
  <dcterms:created xsi:type="dcterms:W3CDTF">2016-04-09T21:31:13Z</dcterms:created>
  <dcterms:modified xsi:type="dcterms:W3CDTF">2016-08-29T19:26:56Z</dcterms:modified>
</cp:coreProperties>
</file>