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uben\Documentos\IDA\PROYECTO\"/>
    </mc:Choice>
  </mc:AlternateContent>
  <xr:revisionPtr revIDLastSave="0" documentId="13_ncr:1_{C3BBCE20-6E4E-48EB-9BAA-5516E7EDC0CB}" xr6:coauthVersionLast="47" xr6:coauthVersionMax="47" xr10:uidLastSave="{00000000-0000-0000-0000-000000000000}"/>
  <bookViews>
    <workbookView xWindow="-120" yWindow="-120" windowWidth="29040" windowHeight="15720" tabRatio="746" activeTab="5" xr2:uid="{00000000-000D-0000-FFFF-FFFF00000000}"/>
  </bookViews>
  <sheets>
    <sheet name="POBLACION" sheetId="1" r:id="rId1"/>
    <sheet name="DOTACION" sheetId="2" r:id="rId2"/>
    <sheet name="CAUDAL DE DISEÑO" sheetId="3" r:id="rId3"/>
    <sheet name="LC1" sheetId="9" r:id="rId4"/>
    <sheet name="LC2" sheetId="10" r:id="rId5"/>
    <sheet name="LINEA DE ADUCCION" sheetId="11" r:id="rId6"/>
    <sheet name="TANQUE DE ALMACENAMIENTO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8" i="11" l="1"/>
  <c r="D67" i="11"/>
  <c r="M68" i="11"/>
  <c r="M67" i="11"/>
  <c r="F38" i="3"/>
  <c r="F37" i="3"/>
  <c r="F36" i="3"/>
  <c r="F35" i="3"/>
  <c r="F34" i="3"/>
  <c r="F33" i="3"/>
  <c r="F32" i="3"/>
  <c r="H13" i="5"/>
  <c r="H15" i="5"/>
  <c r="H16" i="5" s="1"/>
  <c r="H12" i="5"/>
  <c r="G11" i="11"/>
  <c r="D18" i="11"/>
  <c r="H61" i="5"/>
  <c r="H55" i="5"/>
  <c r="H47" i="5"/>
  <c r="H46" i="5"/>
  <c r="H45" i="5"/>
  <c r="H35" i="5"/>
  <c r="J30" i="5"/>
  <c r="H30" i="5"/>
  <c r="J22" i="5"/>
  <c r="H22" i="5"/>
  <c r="H14" i="5"/>
  <c r="D12" i="3"/>
  <c r="D25" i="3"/>
  <c r="D18" i="3"/>
  <c r="P68" i="11"/>
  <c r="K68" i="11"/>
  <c r="P67" i="11"/>
  <c r="N67" i="11"/>
  <c r="O67" i="11" s="1"/>
  <c r="D62" i="11"/>
  <c r="D61" i="11"/>
  <c r="D42" i="11"/>
  <c r="D14" i="11"/>
  <c r="D5" i="11"/>
  <c r="D19" i="9"/>
  <c r="P82" i="10"/>
  <c r="P81" i="10"/>
  <c r="P80" i="10"/>
  <c r="P79" i="10"/>
  <c r="P78" i="10"/>
  <c r="P77" i="10"/>
  <c r="P76" i="10"/>
  <c r="P75" i="10"/>
  <c r="P74" i="10"/>
  <c r="P73" i="10"/>
  <c r="P72" i="10"/>
  <c r="P71" i="10"/>
  <c r="P70" i="10"/>
  <c r="P69" i="10"/>
  <c r="P68" i="10"/>
  <c r="K68" i="10"/>
  <c r="C68" i="10"/>
  <c r="P67" i="10"/>
  <c r="N67" i="10"/>
  <c r="D62" i="10"/>
  <c r="D61" i="10"/>
  <c r="D42" i="10"/>
  <c r="D5" i="10"/>
  <c r="P118" i="9"/>
  <c r="P119" i="9"/>
  <c r="P120" i="9"/>
  <c r="P121" i="9"/>
  <c r="P122" i="9"/>
  <c r="P123" i="9"/>
  <c r="P124" i="9"/>
  <c r="P125" i="9"/>
  <c r="P126" i="9"/>
  <c r="P127" i="9"/>
  <c r="P128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68" i="9"/>
  <c r="K69" i="9"/>
  <c r="D62" i="9"/>
  <c r="F75" i="9"/>
  <c r="F74" i="9"/>
  <c r="F73" i="9"/>
  <c r="F72" i="9"/>
  <c r="F71" i="9"/>
  <c r="F70" i="9"/>
  <c r="F69" i="9"/>
  <c r="C69" i="9"/>
  <c r="N68" i="9"/>
  <c r="F68" i="9"/>
  <c r="D63" i="9"/>
  <c r="D43" i="9"/>
  <c r="D15" i="9"/>
  <c r="D5" i="9"/>
  <c r="D8" i="3"/>
  <c r="D4" i="3"/>
  <c r="C24" i="1"/>
  <c r="C23" i="1"/>
  <c r="C22" i="1"/>
  <c r="E13" i="1"/>
  <c r="E12" i="1"/>
  <c r="H41" i="5" l="1"/>
  <c r="H40" i="5"/>
  <c r="D19" i="11"/>
  <c r="F67" i="11"/>
  <c r="E67" i="11"/>
  <c r="D21" i="11"/>
  <c r="D20" i="11"/>
  <c r="D55" i="11"/>
  <c r="D50" i="11"/>
  <c r="F50" i="11" s="1"/>
  <c r="D33" i="11"/>
  <c r="D34" i="11" s="1"/>
  <c r="D63" i="11"/>
  <c r="D35" i="11"/>
  <c r="D36" i="11" s="1"/>
  <c r="F96" i="9"/>
  <c r="F95" i="9"/>
  <c r="F121" i="9"/>
  <c r="F104" i="9"/>
  <c r="F106" i="9"/>
  <c r="F109" i="9"/>
  <c r="F112" i="9"/>
  <c r="F115" i="9"/>
  <c r="F116" i="9"/>
  <c r="F84" i="9"/>
  <c r="F87" i="9"/>
  <c r="F90" i="9"/>
  <c r="F93" i="9"/>
  <c r="F94" i="9"/>
  <c r="F101" i="9"/>
  <c r="K70" i="9"/>
  <c r="F98" i="9"/>
  <c r="F127" i="9"/>
  <c r="F107" i="9"/>
  <c r="F110" i="9"/>
  <c r="F111" i="9"/>
  <c r="F114" i="9"/>
  <c r="F117" i="9"/>
  <c r="F119" i="9"/>
  <c r="F83" i="9"/>
  <c r="F86" i="9"/>
  <c r="F89" i="9"/>
  <c r="F92" i="9"/>
  <c r="F99" i="9"/>
  <c r="F100" i="9"/>
  <c r="F102" i="9"/>
  <c r="F76" i="9"/>
  <c r="F122" i="9"/>
  <c r="F123" i="9"/>
  <c r="F124" i="9"/>
  <c r="F125" i="9"/>
  <c r="F126" i="9"/>
  <c r="F105" i="9"/>
  <c r="F108" i="9"/>
  <c r="F113" i="9"/>
  <c r="F118" i="9"/>
  <c r="F120" i="9"/>
  <c r="F85" i="9"/>
  <c r="F88" i="9"/>
  <c r="F91" i="9"/>
  <c r="F97" i="9"/>
  <c r="F103" i="9"/>
  <c r="D14" i="10"/>
  <c r="E79" i="10"/>
  <c r="F78" i="10"/>
  <c r="E78" i="10"/>
  <c r="F77" i="10"/>
  <c r="E77" i="10"/>
  <c r="F76" i="10"/>
  <c r="F75" i="10"/>
  <c r="F74" i="10"/>
  <c r="F73" i="10"/>
  <c r="F72" i="10"/>
  <c r="E71" i="10"/>
  <c r="E70" i="10"/>
  <c r="E69" i="10"/>
  <c r="C69" i="10"/>
  <c r="C70" i="10" s="1"/>
  <c r="F68" i="10"/>
  <c r="E68" i="10"/>
  <c r="E76" i="10"/>
  <c r="E75" i="10"/>
  <c r="E74" i="10"/>
  <c r="E73" i="10"/>
  <c r="E72" i="10"/>
  <c r="F71" i="10"/>
  <c r="C71" i="10"/>
  <c r="C72" i="10" s="1"/>
  <c r="C73" i="10" s="1"/>
  <c r="C74" i="10" s="1"/>
  <c r="C75" i="10" s="1"/>
  <c r="C76" i="10" s="1"/>
  <c r="C77" i="10" s="1"/>
  <c r="C78" i="10" s="1"/>
  <c r="C79" i="10" s="1"/>
  <c r="C80" i="10" s="1"/>
  <c r="F70" i="10"/>
  <c r="K69" i="10"/>
  <c r="K70" i="10" s="1"/>
  <c r="K71" i="10" s="1"/>
  <c r="K72" i="10" s="1"/>
  <c r="K73" i="10" s="1"/>
  <c r="K74" i="10" s="1"/>
  <c r="K75" i="10" s="1"/>
  <c r="K76" i="10" s="1"/>
  <c r="K77" i="10" s="1"/>
  <c r="K78" i="10" s="1"/>
  <c r="K79" i="10" s="1"/>
  <c r="F69" i="10"/>
  <c r="O67" i="10"/>
  <c r="E67" i="10"/>
  <c r="D35" i="10"/>
  <c r="D36" i="10" s="1"/>
  <c r="D33" i="10"/>
  <c r="D34" i="10" s="1"/>
  <c r="F81" i="10"/>
  <c r="E81" i="10"/>
  <c r="K80" i="10"/>
  <c r="K81" i="10" s="1"/>
  <c r="K82" i="10" s="1"/>
  <c r="F80" i="10"/>
  <c r="E80" i="10"/>
  <c r="F79" i="10"/>
  <c r="F67" i="10"/>
  <c r="D63" i="10"/>
  <c r="D55" i="10"/>
  <c r="D50" i="10"/>
  <c r="E85" i="9"/>
  <c r="E93" i="9"/>
  <c r="E99" i="9"/>
  <c r="E89" i="9"/>
  <c r="E86" i="9"/>
  <c r="E87" i="9"/>
  <c r="E90" i="9"/>
  <c r="E91" i="9"/>
  <c r="E95" i="9"/>
  <c r="E96" i="9"/>
  <c r="E97" i="9"/>
  <c r="E92" i="9"/>
  <c r="E98" i="9"/>
  <c r="E88" i="9"/>
  <c r="E94" i="9"/>
  <c r="E126" i="9"/>
  <c r="E107" i="9"/>
  <c r="E108" i="9"/>
  <c r="E115" i="9"/>
  <c r="E119" i="9"/>
  <c r="E100" i="9"/>
  <c r="E101" i="9"/>
  <c r="E102" i="9"/>
  <c r="E103" i="9"/>
  <c r="E105" i="9"/>
  <c r="E111" i="9"/>
  <c r="E112" i="9"/>
  <c r="E116" i="9"/>
  <c r="E120" i="9"/>
  <c r="E84" i="9"/>
  <c r="E124" i="9"/>
  <c r="E125" i="9"/>
  <c r="E127" i="9"/>
  <c r="E104" i="9"/>
  <c r="E110" i="9"/>
  <c r="E113" i="9"/>
  <c r="E121" i="9"/>
  <c r="E123" i="9"/>
  <c r="E106" i="9"/>
  <c r="E109" i="9"/>
  <c r="E114" i="9"/>
  <c r="E117" i="9"/>
  <c r="E83" i="9"/>
  <c r="E122" i="9"/>
  <c r="E118" i="9"/>
  <c r="F79" i="9"/>
  <c r="F82" i="9"/>
  <c r="F81" i="9"/>
  <c r="F80" i="9"/>
  <c r="F78" i="9"/>
  <c r="F77" i="9"/>
  <c r="C70" i="9"/>
  <c r="C71" i="9" s="1"/>
  <c r="C72" i="9" s="1"/>
  <c r="C73" i="9" s="1"/>
  <c r="C74" i="9" s="1"/>
  <c r="C75" i="9" s="1"/>
  <c r="C76" i="9" s="1"/>
  <c r="C77" i="9" s="1"/>
  <c r="C78" i="9" s="1"/>
  <c r="O68" i="9"/>
  <c r="D56" i="9"/>
  <c r="E80" i="9"/>
  <c r="E79" i="9"/>
  <c r="E78" i="9"/>
  <c r="E74" i="9"/>
  <c r="E72" i="9"/>
  <c r="D64" i="9"/>
  <c r="C79" i="9"/>
  <c r="C80" i="9" s="1"/>
  <c r="C81" i="9" s="1"/>
  <c r="C82" i="9" s="1"/>
  <c r="C83" i="9" s="1"/>
  <c r="C84" i="9" s="1"/>
  <c r="C85" i="9" s="1"/>
  <c r="C86" i="9" s="1"/>
  <c r="C87" i="9" s="1"/>
  <c r="C88" i="9" s="1"/>
  <c r="E71" i="9"/>
  <c r="E70" i="9"/>
  <c r="D34" i="9"/>
  <c r="D35" i="9" s="1"/>
  <c r="D20" i="9"/>
  <c r="E82" i="9"/>
  <c r="E81" i="9"/>
  <c r="E77" i="9"/>
  <c r="E76" i="9"/>
  <c r="E75" i="9"/>
  <c r="E73" i="9"/>
  <c r="E69" i="9"/>
  <c r="E68" i="9"/>
  <c r="D51" i="9"/>
  <c r="F51" i="9" s="1"/>
  <c r="D36" i="9"/>
  <c r="D37" i="9" s="1"/>
  <c r="G13" i="1"/>
  <c r="F13" i="1"/>
  <c r="G12" i="1"/>
  <c r="F12" i="1"/>
  <c r="C11" i="1" s="1"/>
  <c r="G67" i="11" l="1"/>
  <c r="C89" i="9"/>
  <c r="C90" i="9" s="1"/>
  <c r="C91" i="9" s="1"/>
  <c r="C92" i="9" s="1"/>
  <c r="K71" i="9"/>
  <c r="K72" i="9" s="1"/>
  <c r="K73" i="9" s="1"/>
  <c r="K74" i="9" s="1"/>
  <c r="K75" i="9" s="1"/>
  <c r="K76" i="9" s="1"/>
  <c r="G123" i="9"/>
  <c r="G126" i="9"/>
  <c r="G107" i="9"/>
  <c r="G110" i="9"/>
  <c r="G113" i="9"/>
  <c r="G117" i="9"/>
  <c r="G120" i="9"/>
  <c r="G85" i="9"/>
  <c r="G88" i="9"/>
  <c r="G91" i="9"/>
  <c r="G96" i="9"/>
  <c r="G99" i="9"/>
  <c r="G102" i="9"/>
  <c r="G121" i="9"/>
  <c r="G122" i="9"/>
  <c r="G124" i="9"/>
  <c r="G125" i="9"/>
  <c r="G104" i="9"/>
  <c r="G105" i="9"/>
  <c r="G108" i="9"/>
  <c r="G112" i="9"/>
  <c r="G115" i="9"/>
  <c r="G118" i="9"/>
  <c r="G119" i="9"/>
  <c r="G84" i="9"/>
  <c r="G87" i="9"/>
  <c r="G90" i="9"/>
  <c r="G93" i="9"/>
  <c r="G95" i="9"/>
  <c r="G97" i="9"/>
  <c r="G103" i="9"/>
  <c r="G127" i="9"/>
  <c r="G106" i="9"/>
  <c r="G109" i="9"/>
  <c r="G111" i="9"/>
  <c r="G114" i="9"/>
  <c r="G116" i="9"/>
  <c r="G83" i="9"/>
  <c r="G86" i="9"/>
  <c r="G89" i="9"/>
  <c r="G92" i="9"/>
  <c r="G94" i="9"/>
  <c r="G98" i="9"/>
  <c r="G100" i="9"/>
  <c r="G101" i="9"/>
  <c r="D18" i="10"/>
  <c r="D19" i="10" s="1"/>
  <c r="F50" i="10"/>
  <c r="G79" i="10"/>
  <c r="G80" i="10"/>
  <c r="G81" i="10"/>
  <c r="G67" i="10"/>
  <c r="G72" i="10"/>
  <c r="G74" i="10"/>
  <c r="G75" i="10"/>
  <c r="G68" i="10"/>
  <c r="G69" i="10"/>
  <c r="G70" i="10"/>
  <c r="G71" i="10"/>
  <c r="G73" i="10"/>
  <c r="G76" i="10"/>
  <c r="G77" i="10"/>
  <c r="G78" i="10"/>
  <c r="C81" i="10"/>
  <c r="I89" i="9"/>
  <c r="H89" i="9"/>
  <c r="H92" i="9"/>
  <c r="I92" i="9"/>
  <c r="I98" i="9"/>
  <c r="H98" i="9"/>
  <c r="H94" i="9"/>
  <c r="I94" i="9"/>
  <c r="I100" i="9"/>
  <c r="H100" i="9"/>
  <c r="I101" i="9"/>
  <c r="H101" i="9"/>
  <c r="I110" i="9"/>
  <c r="H110" i="9"/>
  <c r="H121" i="9"/>
  <c r="I121" i="9"/>
  <c r="I123" i="9"/>
  <c r="H123" i="9"/>
  <c r="H117" i="9"/>
  <c r="I117" i="9"/>
  <c r="I118" i="9"/>
  <c r="H118" i="9"/>
  <c r="C93" i="9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C118" i="9" s="1"/>
  <c r="C119" i="9" s="1"/>
  <c r="C120" i="9" s="1"/>
  <c r="C121" i="9" s="1"/>
  <c r="C122" i="9" s="1"/>
  <c r="C123" i="9" s="1"/>
  <c r="C124" i="9" s="1"/>
  <c r="C125" i="9" s="1"/>
  <c r="C126" i="9" s="1"/>
  <c r="C127" i="9" s="1"/>
  <c r="K77" i="9"/>
  <c r="K78" i="9" s="1"/>
  <c r="K79" i="9" s="1"/>
  <c r="K80" i="9" s="1"/>
  <c r="K81" i="9" s="1"/>
  <c r="K82" i="9" s="1"/>
  <c r="K83" i="9" s="1"/>
  <c r="K84" i="9" s="1"/>
  <c r="K85" i="9" s="1"/>
  <c r="K86" i="9" s="1"/>
  <c r="K87" i="9" s="1"/>
  <c r="K88" i="9" s="1"/>
  <c r="K89" i="9" s="1"/>
  <c r="K90" i="9" s="1"/>
  <c r="K91" i="9" s="1"/>
  <c r="K92" i="9" s="1"/>
  <c r="K93" i="9" s="1"/>
  <c r="K94" i="9" s="1"/>
  <c r="K95" i="9" s="1"/>
  <c r="K96" i="9" s="1"/>
  <c r="K97" i="9" s="1"/>
  <c r="K98" i="9" s="1"/>
  <c r="K99" i="9" s="1"/>
  <c r="K100" i="9" s="1"/>
  <c r="K101" i="9" s="1"/>
  <c r="K102" i="9" s="1"/>
  <c r="K103" i="9" s="1"/>
  <c r="K104" i="9" s="1"/>
  <c r="K105" i="9" s="1"/>
  <c r="K106" i="9" s="1"/>
  <c r="K107" i="9" s="1"/>
  <c r="K108" i="9" s="1"/>
  <c r="K109" i="9" s="1"/>
  <c r="K110" i="9" s="1"/>
  <c r="K111" i="9" s="1"/>
  <c r="K112" i="9" s="1"/>
  <c r="K113" i="9" s="1"/>
  <c r="K114" i="9" s="1"/>
  <c r="K115" i="9" s="1"/>
  <c r="K116" i="9" s="1"/>
  <c r="K117" i="9" s="1"/>
  <c r="K118" i="9" s="1"/>
  <c r="K119" i="9" s="1"/>
  <c r="K120" i="9" s="1"/>
  <c r="K121" i="9" s="1"/>
  <c r="K122" i="9" s="1"/>
  <c r="K123" i="9" s="1"/>
  <c r="K124" i="9" s="1"/>
  <c r="K125" i="9" s="1"/>
  <c r="K126" i="9" s="1"/>
  <c r="K127" i="9" s="1"/>
  <c r="K128" i="9" s="1"/>
  <c r="G71" i="9"/>
  <c r="G73" i="9"/>
  <c r="G77" i="9"/>
  <c r="G80" i="9"/>
  <c r="G82" i="9"/>
  <c r="G69" i="9"/>
  <c r="G76" i="9"/>
  <c r="G72" i="9"/>
  <c r="G74" i="9"/>
  <c r="G81" i="9"/>
  <c r="G68" i="9"/>
  <c r="G70" i="9"/>
  <c r="G75" i="9"/>
  <c r="G78" i="9"/>
  <c r="G79" i="9"/>
  <c r="D22" i="9"/>
  <c r="D21" i="9"/>
  <c r="F11" i="1"/>
  <c r="C21" i="1"/>
  <c r="I67" i="11" l="1"/>
  <c r="N68" i="11" s="1"/>
  <c r="H67" i="11"/>
  <c r="H126" i="9"/>
  <c r="I126" i="9"/>
  <c r="I107" i="9"/>
  <c r="H107" i="9"/>
  <c r="I113" i="9"/>
  <c r="H113" i="9"/>
  <c r="H122" i="9"/>
  <c r="I122" i="9"/>
  <c r="H104" i="9"/>
  <c r="I104" i="9"/>
  <c r="H105" i="9"/>
  <c r="I105" i="9"/>
  <c r="H108" i="9"/>
  <c r="I108" i="9"/>
  <c r="H112" i="9"/>
  <c r="I112" i="9"/>
  <c r="H119" i="9"/>
  <c r="I119" i="9"/>
  <c r="I90" i="9"/>
  <c r="H90" i="9"/>
  <c r="H97" i="9"/>
  <c r="I97" i="9"/>
  <c r="H127" i="9"/>
  <c r="I127" i="9"/>
  <c r="H83" i="9"/>
  <c r="I83" i="9"/>
  <c r="H93" i="9"/>
  <c r="H96" i="9"/>
  <c r="I88" i="9"/>
  <c r="H102" i="9"/>
  <c r="I106" i="9"/>
  <c r="I109" i="9"/>
  <c r="I85" i="9"/>
  <c r="H85" i="9"/>
  <c r="I93" i="9"/>
  <c r="H88" i="9"/>
  <c r="I102" i="9"/>
  <c r="I111" i="9"/>
  <c r="H114" i="9"/>
  <c r="H99" i="9"/>
  <c r="H86" i="9"/>
  <c r="I86" i="9"/>
  <c r="H87" i="9"/>
  <c r="I87" i="9"/>
  <c r="H91" i="9"/>
  <c r="I95" i="9"/>
  <c r="I96" i="9"/>
  <c r="I115" i="9"/>
  <c r="H103" i="9"/>
  <c r="I99" i="9"/>
  <c r="I91" i="9"/>
  <c r="H95" i="9"/>
  <c r="H115" i="9"/>
  <c r="I103" i="9"/>
  <c r="I114" i="9"/>
  <c r="H111" i="9"/>
  <c r="H116" i="9"/>
  <c r="I116" i="9"/>
  <c r="I120" i="9"/>
  <c r="H120" i="9"/>
  <c r="I84" i="9"/>
  <c r="H84" i="9"/>
  <c r="H124" i="9"/>
  <c r="I124" i="9"/>
  <c r="I125" i="9"/>
  <c r="H125" i="9"/>
  <c r="H106" i="9"/>
  <c r="H109" i="9"/>
  <c r="D20" i="10"/>
  <c r="D21" i="10"/>
  <c r="H79" i="10"/>
  <c r="I79" i="10"/>
  <c r="H80" i="10"/>
  <c r="I80" i="10"/>
  <c r="H81" i="10"/>
  <c r="I81" i="10"/>
  <c r="H67" i="10"/>
  <c r="I67" i="10"/>
  <c r="N68" i="10" s="1"/>
  <c r="I72" i="10"/>
  <c r="H72" i="10"/>
  <c r="H74" i="10"/>
  <c r="I74" i="10"/>
  <c r="H75" i="10"/>
  <c r="I75" i="10"/>
  <c r="H68" i="10"/>
  <c r="I68" i="10"/>
  <c r="I69" i="10"/>
  <c r="H69" i="10"/>
  <c r="H70" i="10"/>
  <c r="I70" i="10"/>
  <c r="I71" i="10"/>
  <c r="H71" i="10"/>
  <c r="I73" i="10"/>
  <c r="H73" i="10"/>
  <c r="H76" i="10"/>
  <c r="I76" i="10"/>
  <c r="H77" i="10"/>
  <c r="I77" i="10"/>
  <c r="H78" i="10"/>
  <c r="I78" i="10"/>
  <c r="H71" i="9"/>
  <c r="I71" i="9"/>
  <c r="H73" i="9"/>
  <c r="I73" i="9"/>
  <c r="I77" i="9"/>
  <c r="H77" i="9"/>
  <c r="I80" i="9"/>
  <c r="H80" i="9"/>
  <c r="H82" i="9"/>
  <c r="I82" i="9"/>
  <c r="H69" i="9"/>
  <c r="I69" i="9"/>
  <c r="H76" i="9"/>
  <c r="I76" i="9"/>
  <c r="H72" i="9"/>
  <c r="I72" i="9"/>
  <c r="I74" i="9"/>
  <c r="H74" i="9"/>
  <c r="I81" i="9"/>
  <c r="H81" i="9"/>
  <c r="H68" i="9"/>
  <c r="I68" i="9"/>
  <c r="N69" i="9" s="1"/>
  <c r="I70" i="9"/>
  <c r="H70" i="9"/>
  <c r="H75" i="9"/>
  <c r="I75" i="9"/>
  <c r="H78" i="9"/>
  <c r="I78" i="9"/>
  <c r="I79" i="9"/>
  <c r="H79" i="9"/>
  <c r="O68" i="11" l="1"/>
  <c r="N69" i="10"/>
  <c r="O68" i="10"/>
  <c r="O69" i="9"/>
  <c r="N70" i="9"/>
  <c r="N70" i="10" l="1"/>
  <c r="O69" i="10"/>
  <c r="O70" i="9"/>
  <c r="N71" i="9"/>
  <c r="N71" i="10" l="1"/>
  <c r="O70" i="10"/>
  <c r="O71" i="9"/>
  <c r="N72" i="9"/>
  <c r="O71" i="10" l="1"/>
  <c r="N72" i="10"/>
  <c r="N73" i="9"/>
  <c r="O72" i="9"/>
  <c r="O72" i="10" l="1"/>
  <c r="N73" i="10"/>
  <c r="N74" i="9"/>
  <c r="O73" i="9"/>
  <c r="O73" i="10" l="1"/>
  <c r="N74" i="10"/>
  <c r="O74" i="9"/>
  <c r="N75" i="9"/>
  <c r="O74" i="10" l="1"/>
  <c r="N75" i="10"/>
  <c r="N76" i="9"/>
  <c r="O75" i="9"/>
  <c r="O75" i="10" l="1"/>
  <c r="N76" i="10"/>
  <c r="N77" i="9"/>
  <c r="O76" i="9"/>
  <c r="O76" i="10" l="1"/>
  <c r="N77" i="10"/>
  <c r="O77" i="9"/>
  <c r="N78" i="9"/>
  <c r="O77" i="10" l="1"/>
  <c r="N78" i="10"/>
  <c r="O78" i="9"/>
  <c r="N79" i="9"/>
  <c r="O78" i="10" l="1"/>
  <c r="N79" i="10"/>
  <c r="O79" i="9"/>
  <c r="N80" i="9"/>
  <c r="O79" i="10" l="1"/>
  <c r="N80" i="10"/>
  <c r="O80" i="9"/>
  <c r="N81" i="9"/>
  <c r="O80" i="10" l="1"/>
  <c r="N81" i="10"/>
  <c r="N82" i="9"/>
  <c r="O81" i="9"/>
  <c r="O81" i="10" l="1"/>
  <c r="N82" i="10"/>
  <c r="O82" i="9"/>
  <c r="N83" i="9"/>
  <c r="O82" i="10" l="1"/>
  <c r="O83" i="9"/>
  <c r="N84" i="9"/>
  <c r="N85" i="9" l="1"/>
  <c r="O84" i="9"/>
  <c r="N86" i="9" l="1"/>
  <c r="O85" i="9"/>
  <c r="O86" i="9" l="1"/>
  <c r="N87" i="9"/>
  <c r="N88" i="9" l="1"/>
  <c r="O87" i="9"/>
  <c r="N89" i="9" l="1"/>
  <c r="O88" i="9"/>
  <c r="N90" i="9" l="1"/>
  <c r="O89" i="9"/>
  <c r="N91" i="9" l="1"/>
  <c r="O90" i="9"/>
  <c r="O91" i="9" l="1"/>
  <c r="N92" i="9"/>
  <c r="O92" i="9" l="1"/>
  <c r="N93" i="9"/>
  <c r="N94" i="9" l="1"/>
  <c r="O93" i="9"/>
  <c r="O94" i="9" l="1"/>
  <c r="N95" i="9"/>
  <c r="O95" i="9" l="1"/>
  <c r="N96" i="9"/>
  <c r="O96" i="9" l="1"/>
  <c r="N97" i="9"/>
  <c r="N98" i="9" l="1"/>
  <c r="O97" i="9"/>
  <c r="O98" i="9" l="1"/>
  <c r="N99" i="9"/>
  <c r="O99" i="9" l="1"/>
  <c r="N100" i="9"/>
  <c r="O100" i="9" l="1"/>
  <c r="N101" i="9"/>
  <c r="O101" i="9" l="1"/>
  <c r="N102" i="9"/>
  <c r="O102" i="9" l="1"/>
  <c r="N103" i="9"/>
  <c r="N104" i="9" l="1"/>
  <c r="O103" i="9"/>
  <c r="N105" i="9" l="1"/>
  <c r="O104" i="9"/>
  <c r="N106" i="9" l="1"/>
  <c r="O105" i="9"/>
  <c r="N107" i="9" l="1"/>
  <c r="O106" i="9"/>
  <c r="N108" i="9" l="1"/>
  <c r="O107" i="9"/>
  <c r="N109" i="9" l="1"/>
  <c r="O108" i="9"/>
  <c r="N110" i="9" l="1"/>
  <c r="O109" i="9"/>
  <c r="O110" i="9" l="1"/>
  <c r="N111" i="9"/>
  <c r="N112" i="9" l="1"/>
  <c r="O111" i="9"/>
  <c r="O112" i="9" l="1"/>
  <c r="N113" i="9"/>
  <c r="N114" i="9" l="1"/>
  <c r="O113" i="9"/>
  <c r="N115" i="9" l="1"/>
  <c r="O114" i="9"/>
  <c r="N116" i="9" l="1"/>
  <c r="O115" i="9"/>
  <c r="N117" i="9" l="1"/>
  <c r="O116" i="9"/>
  <c r="O117" i="9" l="1"/>
  <c r="N118" i="9"/>
  <c r="N119" i="9" l="1"/>
  <c r="O118" i="9"/>
  <c r="O119" i="9" l="1"/>
  <c r="N120" i="9"/>
  <c r="N121" i="9" l="1"/>
  <c r="O120" i="9"/>
  <c r="N122" i="9" l="1"/>
  <c r="O121" i="9"/>
  <c r="N123" i="9" l="1"/>
  <c r="O122" i="9"/>
  <c r="O123" i="9" l="1"/>
  <c r="N124" i="9"/>
  <c r="O124" i="9" l="1"/>
  <c r="N125" i="9"/>
  <c r="N126" i="9" l="1"/>
  <c r="O125" i="9"/>
  <c r="N127" i="9" l="1"/>
  <c r="O126" i="9"/>
  <c r="N128" i="9" l="1"/>
  <c r="O127" i="9"/>
  <c r="O128" i="9" l="1"/>
  <c r="N129" i="9"/>
</calcChain>
</file>

<file path=xl/sharedStrings.xml><?xml version="1.0" encoding="utf-8"?>
<sst xmlns="http://schemas.openxmlformats.org/spreadsheetml/2006/main" count="452" uniqueCount="225">
  <si>
    <t>1. INFORMACION DE AREA</t>
  </si>
  <si>
    <t>DEPARTAMENTO</t>
  </si>
  <si>
    <t>LA LIBERTAD</t>
  </si>
  <si>
    <t>PROVINCIA</t>
  </si>
  <si>
    <t>GRAN CHIMÚ</t>
  </si>
  <si>
    <t>DISTRITO</t>
  </si>
  <si>
    <t>CASCAS</t>
  </si>
  <si>
    <t>LOCALIDAD</t>
  </si>
  <si>
    <t>2. DATOS DE CENSOS</t>
  </si>
  <si>
    <t>AÑO</t>
  </si>
  <si>
    <t>POBLACION</t>
  </si>
  <si>
    <t>Urbano</t>
  </si>
  <si>
    <t>Rural</t>
  </si>
  <si>
    <t>Total</t>
  </si>
  <si>
    <t>% urbano</t>
  </si>
  <si>
    <t>%rural</t>
  </si>
  <si>
    <t>-</t>
  </si>
  <si>
    <t>3. DATOS DE CENSOS APLICANDO EL FACTOR DE MAYORACION</t>
  </si>
  <si>
    <t>K</t>
  </si>
  <si>
    <t>POBLACIÓN</t>
  </si>
  <si>
    <t>(urbana)</t>
  </si>
  <si>
    <t xml:space="preserve">4. POBLACION PROYECTADA - MODELOS DE CRECIMIENTO </t>
  </si>
  <si>
    <t>AÑO 0</t>
  </si>
  <si>
    <t>10 AÑOS</t>
  </si>
  <si>
    <t>20 AÑOS</t>
  </si>
  <si>
    <t>MODELO</t>
  </si>
  <si>
    <t>R^2</t>
  </si>
  <si>
    <t>Coeficiente de determinación</t>
  </si>
  <si>
    <t>Lineal</t>
  </si>
  <si>
    <t>Potencial</t>
  </si>
  <si>
    <t>Exponencial</t>
  </si>
  <si>
    <t>Logaritmico</t>
  </si>
  <si>
    <t>Polinómica G2</t>
  </si>
  <si>
    <t>CLIMA</t>
  </si>
  <si>
    <t>El área donde se ubica el proyecto se encuentra a una altitud de 1279.315</t>
  </si>
  <si>
    <t>m.s.n.m. y su temperatura oscila entre 12ºC y 19ºC, presentando así un clima</t>
  </si>
  <si>
    <t>cálido seco todo el año. Precipitación Pluvial media-alta</t>
  </si>
  <si>
    <t>Ingresos Familiares:</t>
  </si>
  <si>
    <t>En el distrito de Cascas predomina una economía de subsistencia sin</t>
  </si>
  <si>
    <t>mucha probabilidad de ahorro o inversión, debido a que el ingreso</t>
  </si>
  <si>
    <t>promedio mensual es de S/.550.00 (quinientos cincuenta con 00/100</t>
  </si>
  <si>
    <t>nuevos soles) dentro del área urbana.</t>
  </si>
  <si>
    <t>1. DOTACION SEGUN RNE-OS.100</t>
  </si>
  <si>
    <t>CALIDO SECO</t>
  </si>
  <si>
    <t>AREA DE LOTES</t>
  </si>
  <si>
    <t>&gt;90 m2</t>
  </si>
  <si>
    <t>DOTACION</t>
  </si>
  <si>
    <t>L/hab/d</t>
  </si>
  <si>
    <t>2. DOTACION SEGUN SEDAPAL</t>
  </si>
  <si>
    <t>NSE</t>
  </si>
  <si>
    <t>NSE D</t>
  </si>
  <si>
    <t>1. Poblacion de diseño (P)</t>
  </si>
  <si>
    <t>P</t>
  </si>
  <si>
    <t>hab</t>
  </si>
  <si>
    <t>2. Dotacion (D)</t>
  </si>
  <si>
    <t>D</t>
  </si>
  <si>
    <t>L/hab/dia</t>
  </si>
  <si>
    <t>3. Caudal Promedio Diario (Qm)</t>
  </si>
  <si>
    <t>Qm</t>
  </si>
  <si>
    <t>L/s</t>
  </si>
  <si>
    <t>4. Caudal Maximo Diario (Qmd)</t>
  </si>
  <si>
    <t>K1</t>
  </si>
  <si>
    <t>coeficiente de máxima demanda diaria (K1 = 1.3)</t>
  </si>
  <si>
    <t>Qmd</t>
  </si>
  <si>
    <t>5. Caudal Maximo Horario (Qmh)</t>
  </si>
  <si>
    <t>K2</t>
  </si>
  <si>
    <t>coeficiente de máxima demanda horaria (K2 = 1.8 a 2.5)</t>
  </si>
  <si>
    <t>Qmh</t>
  </si>
  <si>
    <t>6. Caudal de Diseño segun el Tipo de Estructura</t>
  </si>
  <si>
    <t>Tipo de estructura</t>
  </si>
  <si>
    <t>Capacidad requerida</t>
  </si>
  <si>
    <t>Obra de captacion</t>
  </si>
  <si>
    <t>Linea de conduccion</t>
  </si>
  <si>
    <t>Planta de tratamiento</t>
  </si>
  <si>
    <t>Linea de aduccion</t>
  </si>
  <si>
    <t>Tanque de Almacenamiento</t>
  </si>
  <si>
    <t>Linea de alimentacion de la red</t>
  </si>
  <si>
    <t>Red de distribucion</t>
  </si>
  <si>
    <t>AREAS</t>
  </si>
  <si>
    <t>Qincendio?</t>
  </si>
  <si>
    <t>1. Caudal de Diseño</t>
  </si>
  <si>
    <t>m3/s</t>
  </si>
  <si>
    <t>Vmin</t>
  </si>
  <si>
    <t>m/s</t>
  </si>
  <si>
    <t>Vmax</t>
  </si>
  <si>
    <t>m/s (para PCV)</t>
  </si>
  <si>
    <t xml:space="preserve"> D_max</t>
  </si>
  <si>
    <t>in</t>
  </si>
  <si>
    <t>mm</t>
  </si>
  <si>
    <t>D_min</t>
  </si>
  <si>
    <t>3. Hazen Williams</t>
  </si>
  <si>
    <t>Diametro escogido</t>
  </si>
  <si>
    <t>m</t>
  </si>
  <si>
    <t>Coeficiente de Hazen Williams</t>
  </si>
  <si>
    <t>C</t>
  </si>
  <si>
    <t>para PVC</t>
  </si>
  <si>
    <t>L</t>
  </si>
  <si>
    <t>Hf</t>
  </si>
  <si>
    <t>4. Verificamos</t>
  </si>
  <si>
    <t>Velocidad</t>
  </si>
  <si>
    <t>V</t>
  </si>
  <si>
    <t>msnm</t>
  </si>
  <si>
    <t>mca</t>
  </si>
  <si>
    <t>https://sswm.info/sites/default/files/reference_attachments/OPS%202005c%20Revervorios%20elevados.pdf</t>
  </si>
  <si>
    <t>Tubería</t>
  </si>
  <si>
    <t>Linea de Contuccion 1</t>
  </si>
  <si>
    <t>L (m)</t>
  </si>
  <si>
    <t>D (m)</t>
  </si>
  <si>
    <t>V (m/s)</t>
  </si>
  <si>
    <t>Q (m3/s)</t>
  </si>
  <si>
    <t>hf (m)</t>
  </si>
  <si>
    <t>NODO</t>
  </si>
  <si>
    <t>H</t>
  </si>
  <si>
    <t>Z</t>
  </si>
  <si>
    <t>p/y (m)</t>
  </si>
  <si>
    <t>PROGRESIVA</t>
  </si>
  <si>
    <t>Velocidad minima y máxima RNE</t>
  </si>
  <si>
    <t>Diametro mínimo y máximo</t>
  </si>
  <si>
    <t>Longitud de la linea de conduccion 2</t>
  </si>
  <si>
    <t>Cota Inicio</t>
  </si>
  <si>
    <t>Cota Final</t>
  </si>
  <si>
    <t>m.s.n.m</t>
  </si>
  <si>
    <t>Tubería de Línea de Conduccion 2</t>
  </si>
  <si>
    <t>2. Carga o energía total disponible</t>
  </si>
  <si>
    <t>3. Presion de Diseño</t>
  </si>
  <si>
    <t>Ht</t>
  </si>
  <si>
    <t>Carga Total disponible</t>
  </si>
  <si>
    <t>Pd</t>
  </si>
  <si>
    <t>kg/cm2</t>
  </si>
  <si>
    <t>psi</t>
  </si>
  <si>
    <t>bar</t>
  </si>
  <si>
    <t>Determinación de la Clase</t>
  </si>
  <si>
    <t>CLASE</t>
  </si>
  <si>
    <t>4. Diametro Mínimo</t>
  </si>
  <si>
    <t>Tubería clase 12.5 - Serie 8 (PN12.5 = 12.5 bar)</t>
  </si>
  <si>
    <t>CUMPLE</t>
  </si>
  <si>
    <t>5. Presiones en Nodos - Hazen Williams</t>
  </si>
  <si>
    <t>mca (factor de seguridad 1.2)</t>
  </si>
  <si>
    <t>Tubería clase 20 - Serie 5 (PN20 = 20 bar)</t>
  </si>
  <si>
    <t>Para grafico</t>
  </si>
  <si>
    <t>L.P.Estatica</t>
  </si>
  <si>
    <t>L.G.H</t>
  </si>
  <si>
    <t>P.V LC1</t>
  </si>
  <si>
    <t>Cota mas baja</t>
  </si>
  <si>
    <t>https://mediahub.wavin.com/m/374e9b4d5e52d073/original/Ficha_Tecnica_PVC-U_Pavco_Wavin.pdf</t>
  </si>
  <si>
    <t>DATOS:</t>
  </si>
  <si>
    <t>Tipos de Reservorio</t>
  </si>
  <si>
    <t>: Apoyado en medio elastico</t>
  </si>
  <si>
    <t>Forma del Reservorio</t>
  </si>
  <si>
    <t>: Circular Cilidrica</t>
  </si>
  <si>
    <t>Material de Construcción</t>
  </si>
  <si>
    <t>: Concreto Armado</t>
  </si>
  <si>
    <t>a) Dimensionamiento del diametro interior del Reservorio:</t>
  </si>
  <si>
    <t>Volumen</t>
  </si>
  <si>
    <t>V =</t>
  </si>
  <si>
    <t>m3</t>
  </si>
  <si>
    <t>Altura de Agua</t>
  </si>
  <si>
    <t>h1 =</t>
  </si>
  <si>
    <t>Altura libre de Agua</t>
  </si>
  <si>
    <t>h2 =</t>
  </si>
  <si>
    <t>Altura total de Reservorio</t>
  </si>
  <si>
    <t>H =</t>
  </si>
  <si>
    <t>Area del reservorio</t>
  </si>
  <si>
    <t>A =</t>
  </si>
  <si>
    <t>El diámetro será:</t>
  </si>
  <si>
    <t>D =</t>
  </si>
  <si>
    <t>R =</t>
  </si>
  <si>
    <t>Diámetro de la Tubería de Entrada (Línea de Conducción)</t>
  </si>
  <si>
    <t>Se diseña en función del Caudal de ingreso proporcional al volumen del módulo (Qmd= 15.36 l/s =0.0154 m^3/s asumiendo una velocidad óptima de V = 1.5 m/s.</t>
  </si>
  <si>
    <t>Caudal Máximo Diario</t>
  </si>
  <si>
    <t>Qmd =</t>
  </si>
  <si>
    <t>pulgadas</t>
  </si>
  <si>
    <t>6 pulgadas (PVC)</t>
  </si>
  <si>
    <t>Diámetro de la Tubería de Salida (Línea de Aducción)</t>
  </si>
  <si>
    <t>Se diseña en función del Caudal Máximo Horario proporcional al volumen del módulo (Qmh= 23.64 l/s =0.0237 m^3/s asumiendo una velocidad óptima de V = 1.5 m/s.</t>
  </si>
  <si>
    <t>Qmh =</t>
  </si>
  <si>
    <t>Tiempo de Vaciado y Tubería de Limpia</t>
  </si>
  <si>
    <t>Cálculo para tu módulo de 300 m^3. La norma exige un tiempo máximo de vaciado de 2 horas (7,200) segundos).</t>
  </si>
  <si>
    <t>Área del tanque</t>
  </si>
  <si>
    <t>A=</t>
  </si>
  <si>
    <t>m2</t>
  </si>
  <si>
    <t>Altura útil</t>
  </si>
  <si>
    <t>Cd</t>
  </si>
  <si>
    <t>Gravedad</t>
  </si>
  <si>
    <t>m/s2</t>
  </si>
  <si>
    <t>El área de la tubería será:</t>
  </si>
  <si>
    <t>At</t>
  </si>
  <si>
    <t>Diámetro</t>
  </si>
  <si>
    <t>6 pulgadas (Con "6 garantizas que el vaciado se haga en menos de 2 horas).</t>
  </si>
  <si>
    <t>Dimensionamiento de la Canastilla</t>
  </si>
  <si>
    <t>Basado en tu tubería de salida de 10 pulgadas, según los criterios de la norma técnica.</t>
  </si>
  <si>
    <t>Diámetro de la Canastilla</t>
  </si>
  <si>
    <t>Dc=</t>
  </si>
  <si>
    <t>Longitud mínima</t>
  </si>
  <si>
    <t>3Dc =</t>
  </si>
  <si>
    <t>Longitud máxima</t>
  </si>
  <si>
    <t>6Dc</t>
  </si>
  <si>
    <t>Resultado a adoptar (Excel): Diámetro =20 pulgadas</t>
  </si>
  <si>
    <t>Dosificación de Cloro (Gasto Comercial Diario)</t>
  </si>
  <si>
    <t>Se requiere dosificar para todo el volumen que entra al día Qmd = 15.36 l/s, asumiendo una dosis de 1.5 mg/l usando Hipoclorito de Calcio (HTH) al 65% de pureza.</t>
  </si>
  <si>
    <t>Qmd=</t>
  </si>
  <si>
    <t>l/s</t>
  </si>
  <si>
    <t>Dosis</t>
  </si>
  <si>
    <t>mg/l</t>
  </si>
  <si>
    <t>Pureza</t>
  </si>
  <si>
    <t>%</t>
  </si>
  <si>
    <t>kg/día</t>
  </si>
  <si>
    <t>Tubería de Rebose</t>
  </si>
  <si>
    <t>hf</t>
  </si>
  <si>
    <t>hf =</t>
  </si>
  <si>
    <t>4 pulgadas (Con "4 garantizas que el vaciado se haga en menos de 2 horas).</t>
  </si>
  <si>
    <t>Resultado final (Excel): 3.07 kg/día de Hipoclorito al 65%</t>
  </si>
  <si>
    <t>PREDIMENSIONAMIENTO 300 M3</t>
  </si>
  <si>
    <t>Tubería clase 5 - Serie 20 (PN5 = 5 bar)</t>
  </si>
  <si>
    <t>Longitud de la linea de aducción</t>
  </si>
  <si>
    <t>Linea de Aducción 1</t>
  </si>
  <si>
    <t>cotamin</t>
  </si>
  <si>
    <t>Factor de mayoración según la indicacion del profesor, grupo 1 factor de mayoracion 1.15</t>
  </si>
  <si>
    <t>Poblacion de diseño 6807 debido a la presencia de la produccion indusrial de leche hciendo que la poblacion teng a densificar en esta localidad, y tambien por tener mayor numero de coeficiente de determinacion que los otros metodos. Se usa el periodo de diseño de 20 años por ser una poblacion joven y en desarrollo</t>
  </si>
  <si>
    <t>MEMORIA DESCRIPTIVA INDICABA 150L/HAB/DIA. ASI QUE SE ASUME ESA DOTACION</t>
  </si>
  <si>
    <t>NO HAY CAUDAL DE DISEÑO POR SER UNA POBLACION MENOR A 10 MIL HABITANTES</t>
  </si>
  <si>
    <t>p/y (mca)</t>
  </si>
  <si>
    <t>5. Hazen Williams</t>
  </si>
  <si>
    <t>6. Verificamos</t>
  </si>
  <si>
    <t>P.V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</si>
</sst>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8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name val="Arial"/>
      <family val="2"/>
    </font>
    <font>
      <sz val="10"/>
      <color theme="8"/>
      <name val="Arial"/>
      <family val="2"/>
      <scheme val="minor"/>
    </font>
    <font>
      <sz val="10"/>
      <color rgb="FFFF6D01"/>
      <name val="Arial"/>
      <family val="2"/>
      <scheme val="minor"/>
    </font>
    <font>
      <sz val="10"/>
      <color rgb="FFFFFFFF"/>
      <name val="Arial"/>
      <family val="2"/>
      <scheme val="minor"/>
    </font>
    <font>
      <b/>
      <sz val="10"/>
      <color rgb="FFFF0000"/>
      <name val="Arial"/>
      <family val="2"/>
      <scheme val="minor"/>
    </font>
    <font>
      <i/>
      <sz val="10"/>
      <color rgb="FF666666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theme="10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b/>
      <u/>
      <sz val="11"/>
      <color rgb="FF000000"/>
      <name val="Arial"/>
      <family val="2"/>
      <scheme val="minor"/>
    </font>
    <font>
      <b/>
      <sz val="10"/>
      <name val="Arial"/>
      <family val="2"/>
      <scheme val="minor"/>
    </font>
    <font>
      <sz val="10"/>
      <name val="Arial"/>
      <family val="2"/>
      <scheme val="minor"/>
    </font>
    <font>
      <b/>
      <i/>
      <sz val="10"/>
      <name val="Arial"/>
      <family val="2"/>
      <scheme val="minor"/>
    </font>
    <font>
      <b/>
      <sz val="12"/>
      <color rgb="FFFFFFFF"/>
      <name val="Swis721 Ex BT"/>
      <family val="2"/>
    </font>
    <font>
      <sz val="12"/>
      <color rgb="FF000000"/>
      <name val="Swis721 Cn BT"/>
      <family val="2"/>
    </font>
    <font>
      <b/>
      <sz val="12"/>
      <color rgb="FFFFFFFF"/>
      <name val="Arial"/>
      <family val="2"/>
      <scheme val="minor"/>
    </font>
    <font>
      <b/>
      <sz val="12"/>
      <color rgb="FF000000"/>
      <name val="Swis721 Cn BT"/>
      <family val="2"/>
    </font>
    <font>
      <i/>
      <sz val="12"/>
      <color rgb="FF000000"/>
      <name val="Swis721 Cn BT"/>
      <family val="2"/>
    </font>
    <font>
      <sz val="12"/>
      <color rgb="FF000000"/>
      <name val="Arial"/>
      <family val="2"/>
      <scheme val="minor"/>
    </font>
    <font>
      <i/>
      <sz val="12"/>
      <color rgb="FF000000"/>
      <name val="Arial"/>
      <family val="2"/>
      <scheme val="minor"/>
    </font>
    <font>
      <sz val="12"/>
      <color rgb="FF000000"/>
      <name val="Times New Roman"/>
      <family val="1"/>
    </font>
    <font>
      <b/>
      <i/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11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0" fontId="5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/>
    <xf numFmtId="1" fontId="2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0" borderId="0" xfId="0" applyFont="1"/>
    <xf numFmtId="0" fontId="2" fillId="3" borderId="1" xfId="0" applyFont="1" applyFill="1" applyBorder="1"/>
    <xf numFmtId="2" fontId="2" fillId="0" borderId="1" xfId="0" applyNumberFormat="1" applyFont="1" applyBorder="1" applyAlignment="1">
      <alignment horizontal="center"/>
    </xf>
    <xf numFmtId="0" fontId="6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7" fillId="4" borderId="0" xfId="0" applyFont="1" applyFill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9" fillId="0" borderId="0" xfId="0" applyFont="1"/>
    <xf numFmtId="1" fontId="8" fillId="0" borderId="1" xfId="0" applyNumberFormat="1" applyFont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0" fontId="12" fillId="0" borderId="0" xfId="0" applyFont="1"/>
    <xf numFmtId="0" fontId="0" fillId="0" borderId="7" xfId="0" applyBorder="1"/>
    <xf numFmtId="2" fontId="0" fillId="0" borderId="7" xfId="0" applyNumberFormat="1" applyBorder="1"/>
    <xf numFmtId="2" fontId="0" fillId="0" borderId="0" xfId="0" applyNumberFormat="1"/>
    <xf numFmtId="0" fontId="0" fillId="0" borderId="7" xfId="0" applyBorder="1" applyAlignment="1">
      <alignment horizontal="center"/>
    </xf>
    <xf numFmtId="0" fontId="8" fillId="0" borderId="7" xfId="0" applyFont="1" applyBorder="1"/>
    <xf numFmtId="0" fontId="11" fillId="0" borderId="0" xfId="0" applyFont="1"/>
    <xf numFmtId="0" fontId="11" fillId="0" borderId="7" xfId="0" applyFont="1" applyBorder="1"/>
    <xf numFmtId="0" fontId="11" fillId="0" borderId="7" xfId="0" applyFont="1" applyBorder="1" applyAlignment="1">
      <alignment horizontal="center"/>
    </xf>
    <xf numFmtId="2" fontId="8" fillId="0" borderId="7" xfId="0" applyNumberFormat="1" applyFont="1" applyBorder="1"/>
    <xf numFmtId="2" fontId="8" fillId="0" borderId="5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0" fontId="14" fillId="0" borderId="0" xfId="0" applyFont="1"/>
    <xf numFmtId="0" fontId="15" fillId="0" borderId="0" xfId="0" applyFont="1"/>
    <xf numFmtId="2" fontId="17" fillId="0" borderId="7" xfId="0" applyNumberFormat="1" applyFont="1" applyBorder="1"/>
    <xf numFmtId="165" fontId="17" fillId="0" borderId="7" xfId="0" applyNumberFormat="1" applyFont="1" applyBorder="1"/>
    <xf numFmtId="0" fontId="18" fillId="5" borderId="0" xfId="0" applyFont="1" applyFill="1"/>
    <xf numFmtId="1" fontId="17" fillId="0" borderId="7" xfId="0" applyNumberFormat="1" applyFont="1" applyBorder="1"/>
    <xf numFmtId="0" fontId="1" fillId="2" borderId="1" xfId="0" applyFont="1" applyFill="1" applyBorder="1" applyAlignment="1">
      <alignment horizontal="left"/>
    </xf>
    <xf numFmtId="0" fontId="13" fillId="0" borderId="0" xfId="1"/>
    <xf numFmtId="0" fontId="16" fillId="0" borderId="0" xfId="0" applyFont="1"/>
    <xf numFmtId="0" fontId="0" fillId="6" borderId="0" xfId="0" applyFill="1"/>
    <xf numFmtId="0" fontId="11" fillId="8" borderId="0" xfId="0" applyFont="1" applyFill="1" applyAlignment="1">
      <alignment wrapText="1"/>
    </xf>
    <xf numFmtId="0" fontId="20" fillId="8" borderId="0" xfId="0" applyFont="1" applyFill="1" applyAlignment="1">
      <alignment vertical="center"/>
    </xf>
    <xf numFmtId="0" fontId="11" fillId="8" borderId="11" xfId="0" applyFont="1" applyFill="1" applyBorder="1" applyAlignment="1">
      <alignment wrapText="1"/>
    </xf>
    <xf numFmtId="0" fontId="20" fillId="8" borderId="11" xfId="0" applyFont="1" applyFill="1" applyBorder="1" applyAlignment="1">
      <alignment vertical="center"/>
    </xf>
    <xf numFmtId="0" fontId="22" fillId="8" borderId="0" xfId="0" applyFont="1" applyFill="1" applyAlignment="1">
      <alignment vertical="center"/>
    </xf>
    <xf numFmtId="0" fontId="20" fillId="8" borderId="0" xfId="0" applyFont="1" applyFill="1" applyAlignment="1">
      <alignment wrapText="1"/>
    </xf>
    <xf numFmtId="0" fontId="23" fillId="8" borderId="0" xfId="0" applyFont="1" applyFill="1" applyAlignment="1">
      <alignment horizontal="right" wrapText="1"/>
    </xf>
    <xf numFmtId="0" fontId="24" fillId="8" borderId="0" xfId="0" applyFont="1" applyFill="1" applyAlignment="1">
      <alignment horizontal="right" wrapText="1"/>
    </xf>
    <xf numFmtId="0" fontId="24" fillId="8" borderId="0" xfId="0" applyFont="1" applyFill="1" applyAlignment="1">
      <alignment vertical="center"/>
    </xf>
    <xf numFmtId="0" fontId="25" fillId="8" borderId="0" xfId="0" applyFont="1" applyFill="1" applyAlignment="1">
      <alignment horizontal="right" wrapText="1"/>
    </xf>
    <xf numFmtId="0" fontId="20" fillId="8" borderId="0" xfId="0" applyFont="1" applyFill="1" applyAlignment="1">
      <alignment horizontal="right" wrapText="1"/>
    </xf>
    <xf numFmtId="0" fontId="23" fillId="8" borderId="11" xfId="0" applyFont="1" applyFill="1" applyBorder="1" applyAlignment="1">
      <alignment horizontal="right" wrapText="1"/>
    </xf>
    <xf numFmtId="0" fontId="20" fillId="8" borderId="11" xfId="0" applyFont="1" applyFill="1" applyBorder="1" applyAlignment="1">
      <alignment horizontal="right" wrapText="1"/>
    </xf>
    <xf numFmtId="0" fontId="20" fillId="8" borderId="11" xfId="0" applyFont="1" applyFill="1" applyBorder="1" applyAlignment="1">
      <alignment wrapText="1"/>
    </xf>
    <xf numFmtId="0" fontId="26" fillId="0" borderId="0" xfId="0" applyFont="1" applyAlignment="1">
      <alignment vertical="center"/>
    </xf>
    <xf numFmtId="0" fontId="11" fillId="0" borderId="0" xfId="0" applyFont="1" applyAlignment="1">
      <alignment wrapText="1"/>
    </xf>
    <xf numFmtId="0" fontId="24" fillId="8" borderId="0" xfId="0" applyFont="1" applyFill="1" applyAlignment="1">
      <alignment wrapText="1"/>
    </xf>
    <xf numFmtId="0" fontId="26" fillId="0" borderId="0" xfId="0" applyFont="1" applyAlignment="1">
      <alignment horizontal="right" wrapText="1"/>
    </xf>
    <xf numFmtId="0" fontId="26" fillId="0" borderId="0" xfId="0" applyFont="1" applyAlignment="1">
      <alignment wrapText="1"/>
    </xf>
    <xf numFmtId="0" fontId="27" fillId="6" borderId="0" xfId="0" applyFont="1" applyFill="1" applyAlignment="1">
      <alignment wrapText="1"/>
    </xf>
    <xf numFmtId="0" fontId="11" fillId="6" borderId="0" xfId="0" applyFont="1" applyFill="1" applyAlignment="1">
      <alignment wrapText="1"/>
    </xf>
    <xf numFmtId="0" fontId="26" fillId="6" borderId="0" xfId="0" applyFont="1" applyFill="1" applyAlignment="1">
      <alignment horizontal="right" wrapText="1"/>
    </xf>
    <xf numFmtId="0" fontId="11" fillId="0" borderId="11" xfId="0" applyFont="1" applyBorder="1" applyAlignment="1">
      <alignment wrapText="1"/>
    </xf>
    <xf numFmtId="0" fontId="27" fillId="6" borderId="11" xfId="0" applyFont="1" applyFill="1" applyBorder="1" applyAlignment="1">
      <alignment vertical="center"/>
    </xf>
    <xf numFmtId="0" fontId="11" fillId="6" borderId="11" xfId="0" applyFont="1" applyFill="1" applyBorder="1" applyAlignment="1">
      <alignment wrapText="1"/>
    </xf>
    <xf numFmtId="0" fontId="26" fillId="6" borderId="11" xfId="0" applyFont="1" applyFill="1" applyBorder="1" applyAlignment="1">
      <alignment horizontal="right" wrapText="1"/>
    </xf>
    <xf numFmtId="0" fontId="10" fillId="6" borderId="11" xfId="0" applyFont="1" applyFill="1" applyBorder="1" applyAlignment="1">
      <alignment vertical="center"/>
    </xf>
    <xf numFmtId="0" fontId="24" fillId="6" borderId="11" xfId="0" applyFont="1" applyFill="1" applyBorder="1" applyAlignment="1">
      <alignment horizontal="right" wrapText="1"/>
    </xf>
    <xf numFmtId="0" fontId="24" fillId="8" borderId="11" xfId="0" applyFont="1" applyFill="1" applyBorder="1" applyAlignment="1">
      <alignment wrapText="1"/>
    </xf>
    <xf numFmtId="0" fontId="26" fillId="0" borderId="11" xfId="0" applyFont="1" applyBorder="1" applyAlignment="1">
      <alignment wrapText="1"/>
    </xf>
    <xf numFmtId="0" fontId="27" fillId="6" borderId="0" xfId="0" applyFont="1" applyFill="1" applyAlignment="1">
      <alignment vertical="center"/>
    </xf>
    <xf numFmtId="0" fontId="26" fillId="0" borderId="0" xfId="0" quotePrefix="1" applyFont="1" applyAlignment="1">
      <alignment horizontal="right" wrapText="1"/>
    </xf>
    <xf numFmtId="2" fontId="24" fillId="8" borderId="0" xfId="0" applyNumberFormat="1" applyFont="1" applyFill="1" applyAlignment="1">
      <alignment horizontal="right" wrapText="1"/>
    </xf>
    <xf numFmtId="165" fontId="20" fillId="8" borderId="0" xfId="0" applyNumberFormat="1" applyFont="1" applyFill="1" applyAlignment="1">
      <alignment horizontal="right" wrapText="1"/>
    </xf>
    <xf numFmtId="0" fontId="11" fillId="6" borderId="0" xfId="0" applyFont="1" applyFill="1"/>
    <xf numFmtId="2" fontId="2" fillId="0" borderId="1" xfId="0" applyNumberFormat="1" applyFont="1" applyBorder="1"/>
    <xf numFmtId="0" fontId="2" fillId="6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4" fillId="0" borderId="6" xfId="0" applyFont="1" applyBorder="1"/>
    <xf numFmtId="0" fontId="2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2" fillId="0" borderId="3" xfId="0" applyFont="1" applyBorder="1"/>
    <xf numFmtId="0" fontId="1" fillId="0" borderId="0" xfId="0" applyFont="1"/>
    <xf numFmtId="0" fontId="0" fillId="0" borderId="0" xfId="0"/>
    <xf numFmtId="0" fontId="1" fillId="2" borderId="3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wrapText="1"/>
    </xf>
    <xf numFmtId="0" fontId="21" fillId="7" borderId="9" xfId="0" applyFont="1" applyFill="1" applyBorder="1" applyAlignment="1">
      <alignment wrapText="1"/>
    </xf>
    <xf numFmtId="0" fontId="21" fillId="7" borderId="10" xfId="0" applyFont="1" applyFill="1" applyBorder="1" applyAlignment="1">
      <alignment wrapText="1"/>
    </xf>
    <xf numFmtId="0" fontId="19" fillId="7" borderId="8" xfId="0" applyFont="1" applyFill="1" applyBorder="1" applyAlignment="1">
      <alignment wrapText="1"/>
    </xf>
    <xf numFmtId="0" fontId="19" fillId="7" borderId="9" xfId="0" applyFont="1" applyFill="1" applyBorder="1" applyAlignment="1">
      <alignment wrapText="1"/>
    </xf>
    <xf numFmtId="0" fontId="19" fillId="7" borderId="10" xfId="0" applyFont="1" applyFill="1" applyBorder="1" applyAlignment="1">
      <alignment wrapText="1"/>
    </xf>
  </cellXfs>
  <cellStyles count="2">
    <cellStyle name="Hipervínculo" xfId="1" builtinId="8"/>
    <cellStyle name="Normal" xfId="0" builtinId="0"/>
  </cellStyles>
  <dxfs count="6">
    <dxf>
      <font>
        <b/>
        <i/>
        <strike val="0"/>
        <color rgb="FFC00000"/>
      </font>
      <fill>
        <patternFill>
          <bgColor theme="5" tint="0.59996337778862885"/>
        </patternFill>
      </fill>
    </dxf>
    <dxf>
      <font>
        <b/>
        <i/>
        <strike val="0"/>
        <color theme="1"/>
      </font>
      <fill>
        <patternFill>
          <bgColor theme="7" tint="0.59996337778862885"/>
        </patternFill>
      </fill>
    </dxf>
    <dxf>
      <font>
        <b/>
        <i/>
        <strike val="0"/>
        <color rgb="FFC00000"/>
      </font>
      <fill>
        <patternFill>
          <bgColor theme="5" tint="0.59996337778862885"/>
        </patternFill>
      </fill>
    </dxf>
    <dxf>
      <font>
        <b/>
        <i/>
        <strike val="0"/>
        <color theme="1"/>
      </font>
      <fill>
        <patternFill>
          <bgColor theme="7" tint="0.59996337778862885"/>
        </patternFill>
      </fill>
    </dxf>
    <dxf>
      <font>
        <b/>
        <i/>
        <strike val="0"/>
        <color rgb="FFC00000"/>
      </font>
      <fill>
        <patternFill>
          <bgColor theme="5" tint="0.59996337778862885"/>
        </patternFill>
      </fill>
    </dxf>
    <dxf>
      <font>
        <b/>
        <i/>
        <strike val="0"/>
        <color theme="1"/>
      </font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ysClr val="windowText" lastClr="000000"/>
                </a:solidFill>
              </a:rPr>
              <a:t>PERFIL DE LA LÍNEA DE CONDUCCIÓN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'LC1'!$M$66</c:f>
              <c:strCache>
                <c:ptCount val="1"/>
                <c:pt idx="0">
                  <c:v>P.V LC1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'LC1'!$L$68:$L$128</c:f>
              <c:numCache>
                <c:formatCode>General</c:formatCode>
                <c:ptCount val="61"/>
                <c:pt idx="0">
                  <c:v>0</c:v>
                </c:pt>
                <c:pt idx="1">
                  <c:v>6.26</c:v>
                </c:pt>
                <c:pt idx="2">
                  <c:v>30.69</c:v>
                </c:pt>
                <c:pt idx="3">
                  <c:v>41.74</c:v>
                </c:pt>
                <c:pt idx="4">
                  <c:v>67.61</c:v>
                </c:pt>
                <c:pt idx="5">
                  <c:v>103.72</c:v>
                </c:pt>
                <c:pt idx="6">
                  <c:v>126.91</c:v>
                </c:pt>
                <c:pt idx="7">
                  <c:v>140.82</c:v>
                </c:pt>
                <c:pt idx="8">
                  <c:v>172.3</c:v>
                </c:pt>
                <c:pt idx="9">
                  <c:v>220.9</c:v>
                </c:pt>
                <c:pt idx="10">
                  <c:v>229.92</c:v>
                </c:pt>
                <c:pt idx="11">
                  <c:v>273.81</c:v>
                </c:pt>
                <c:pt idx="12">
                  <c:v>313.12</c:v>
                </c:pt>
                <c:pt idx="13">
                  <c:v>388.12</c:v>
                </c:pt>
                <c:pt idx="14">
                  <c:v>480.29</c:v>
                </c:pt>
                <c:pt idx="15">
                  <c:v>502.11</c:v>
                </c:pt>
                <c:pt idx="16">
                  <c:v>538.46</c:v>
                </c:pt>
                <c:pt idx="17">
                  <c:v>546.6</c:v>
                </c:pt>
                <c:pt idx="18">
                  <c:v>616.88</c:v>
                </c:pt>
                <c:pt idx="19">
                  <c:v>666.3</c:v>
                </c:pt>
                <c:pt idx="20">
                  <c:v>674.99</c:v>
                </c:pt>
                <c:pt idx="21">
                  <c:v>713.36</c:v>
                </c:pt>
                <c:pt idx="22">
                  <c:v>739.48</c:v>
                </c:pt>
                <c:pt idx="23">
                  <c:v>793.94</c:v>
                </c:pt>
                <c:pt idx="24">
                  <c:v>869.12</c:v>
                </c:pt>
                <c:pt idx="25">
                  <c:v>949.31</c:v>
                </c:pt>
                <c:pt idx="26">
                  <c:v>1014.47</c:v>
                </c:pt>
                <c:pt idx="27">
                  <c:v>1050.96</c:v>
                </c:pt>
                <c:pt idx="28">
                  <c:v>1157.1600000000001</c:v>
                </c:pt>
                <c:pt idx="29">
                  <c:v>1264.29</c:v>
                </c:pt>
                <c:pt idx="30">
                  <c:v>1274.55</c:v>
                </c:pt>
                <c:pt idx="31">
                  <c:v>1369.53</c:v>
                </c:pt>
                <c:pt idx="32">
                  <c:v>1434.52</c:v>
                </c:pt>
                <c:pt idx="33">
                  <c:v>1454.91</c:v>
                </c:pt>
                <c:pt idx="34">
                  <c:v>1524.23</c:v>
                </c:pt>
                <c:pt idx="35">
                  <c:v>1704.33</c:v>
                </c:pt>
                <c:pt idx="36">
                  <c:v>1807.63</c:v>
                </c:pt>
                <c:pt idx="37">
                  <c:v>1830.83</c:v>
                </c:pt>
                <c:pt idx="38">
                  <c:v>1871.27</c:v>
                </c:pt>
                <c:pt idx="39">
                  <c:v>1912.05</c:v>
                </c:pt>
                <c:pt idx="40">
                  <c:v>1970.16</c:v>
                </c:pt>
                <c:pt idx="41">
                  <c:v>1993.94</c:v>
                </c:pt>
                <c:pt idx="42">
                  <c:v>2048.9299999999998</c:v>
                </c:pt>
                <c:pt idx="43">
                  <c:v>2085.1999999999998</c:v>
                </c:pt>
                <c:pt idx="44">
                  <c:v>2101.5100000000002</c:v>
                </c:pt>
                <c:pt idx="45">
                  <c:v>2125.12</c:v>
                </c:pt>
                <c:pt idx="46">
                  <c:v>2150.66</c:v>
                </c:pt>
                <c:pt idx="47">
                  <c:v>2181.96</c:v>
                </c:pt>
                <c:pt idx="48">
                  <c:v>2239.04</c:v>
                </c:pt>
                <c:pt idx="49">
                  <c:v>2299.73</c:v>
                </c:pt>
                <c:pt idx="50">
                  <c:v>2326.77</c:v>
                </c:pt>
                <c:pt idx="51">
                  <c:v>2385.64</c:v>
                </c:pt>
                <c:pt idx="52">
                  <c:v>2408.8200000000002</c:v>
                </c:pt>
                <c:pt idx="53">
                  <c:v>2457.9499999999998</c:v>
                </c:pt>
                <c:pt idx="54">
                  <c:v>2526.9299999999998</c:v>
                </c:pt>
                <c:pt idx="55">
                  <c:v>2615.38</c:v>
                </c:pt>
                <c:pt idx="56">
                  <c:v>2694.5</c:v>
                </c:pt>
                <c:pt idx="57">
                  <c:v>2770.6</c:v>
                </c:pt>
                <c:pt idx="58">
                  <c:v>2780.04</c:v>
                </c:pt>
                <c:pt idx="59">
                  <c:v>2788.62</c:v>
                </c:pt>
                <c:pt idx="60">
                  <c:v>2929.99</c:v>
                </c:pt>
              </c:numCache>
            </c:numRef>
          </c:xVal>
          <c:yVal>
            <c:numRef>
              <c:f>'LC1'!$M$68:$M$128</c:f>
              <c:numCache>
                <c:formatCode>General</c:formatCode>
                <c:ptCount val="61"/>
                <c:pt idx="0">
                  <c:v>1505.739</c:v>
                </c:pt>
                <c:pt idx="1">
                  <c:v>1505.2</c:v>
                </c:pt>
                <c:pt idx="2">
                  <c:v>1503.068</c:v>
                </c:pt>
                <c:pt idx="3">
                  <c:v>1502.3489999999999</c:v>
                </c:pt>
                <c:pt idx="4">
                  <c:v>1497.9290000000001</c:v>
                </c:pt>
                <c:pt idx="5">
                  <c:v>1495.616</c:v>
                </c:pt>
                <c:pt idx="6">
                  <c:v>1494.162</c:v>
                </c:pt>
                <c:pt idx="7">
                  <c:v>1492.731</c:v>
                </c:pt>
                <c:pt idx="8">
                  <c:v>1488.2850000000001</c:v>
                </c:pt>
                <c:pt idx="9">
                  <c:v>1485.299</c:v>
                </c:pt>
                <c:pt idx="10">
                  <c:v>1485.307</c:v>
                </c:pt>
                <c:pt idx="11">
                  <c:v>1486.1310000000001</c:v>
                </c:pt>
                <c:pt idx="12">
                  <c:v>1486.143</c:v>
                </c:pt>
                <c:pt idx="13">
                  <c:v>1484.0840000000001</c:v>
                </c:pt>
                <c:pt idx="14">
                  <c:v>1482.518</c:v>
                </c:pt>
                <c:pt idx="15">
                  <c:v>1481.665</c:v>
                </c:pt>
                <c:pt idx="16">
                  <c:v>1479.692</c:v>
                </c:pt>
                <c:pt idx="17">
                  <c:v>1478.2070000000001</c:v>
                </c:pt>
                <c:pt idx="18">
                  <c:v>1474.8309999999999</c:v>
                </c:pt>
                <c:pt idx="19">
                  <c:v>1471.597</c:v>
                </c:pt>
                <c:pt idx="20">
                  <c:v>1470.8520000000001</c:v>
                </c:pt>
                <c:pt idx="21">
                  <c:v>1470.489</c:v>
                </c:pt>
                <c:pt idx="22">
                  <c:v>1468.316</c:v>
                </c:pt>
                <c:pt idx="23">
                  <c:v>1466.252</c:v>
                </c:pt>
                <c:pt idx="24">
                  <c:v>1465.655</c:v>
                </c:pt>
                <c:pt idx="25">
                  <c:v>1461.56</c:v>
                </c:pt>
                <c:pt idx="26">
                  <c:v>1460.6479999999999</c:v>
                </c:pt>
                <c:pt idx="27">
                  <c:v>1457.9780000000001</c:v>
                </c:pt>
                <c:pt idx="28">
                  <c:v>1453.1610000000001</c:v>
                </c:pt>
                <c:pt idx="29">
                  <c:v>1446.528</c:v>
                </c:pt>
                <c:pt idx="30">
                  <c:v>1446.8510000000001</c:v>
                </c:pt>
                <c:pt idx="31">
                  <c:v>1440.2840000000001</c:v>
                </c:pt>
                <c:pt idx="32">
                  <c:v>1437.7360000000001</c:v>
                </c:pt>
                <c:pt idx="33">
                  <c:v>1434.7190000000001</c:v>
                </c:pt>
                <c:pt idx="34">
                  <c:v>1430.422</c:v>
                </c:pt>
                <c:pt idx="35">
                  <c:v>1423.386</c:v>
                </c:pt>
                <c:pt idx="36">
                  <c:v>1420.8989999999999</c:v>
                </c:pt>
                <c:pt idx="37">
                  <c:v>1418.9739999999999</c:v>
                </c:pt>
                <c:pt idx="38">
                  <c:v>1416.529</c:v>
                </c:pt>
                <c:pt idx="39">
                  <c:v>1415.2049999999999</c:v>
                </c:pt>
                <c:pt idx="40">
                  <c:v>1412.2840000000001</c:v>
                </c:pt>
                <c:pt idx="41">
                  <c:v>1409.9739999999999</c:v>
                </c:pt>
                <c:pt idx="42">
                  <c:v>1407.501</c:v>
                </c:pt>
                <c:pt idx="43">
                  <c:v>1404.9490000000001</c:v>
                </c:pt>
                <c:pt idx="44">
                  <c:v>1404.8630000000001</c:v>
                </c:pt>
                <c:pt idx="45">
                  <c:v>1403.3620000000001</c:v>
                </c:pt>
                <c:pt idx="46">
                  <c:v>1403.7909999999999</c:v>
                </c:pt>
                <c:pt idx="47">
                  <c:v>1401.57</c:v>
                </c:pt>
                <c:pt idx="48">
                  <c:v>1395.568</c:v>
                </c:pt>
                <c:pt idx="49">
                  <c:v>1393.4680000000001</c:v>
                </c:pt>
                <c:pt idx="50">
                  <c:v>1391.204</c:v>
                </c:pt>
                <c:pt idx="51">
                  <c:v>1383.72</c:v>
                </c:pt>
                <c:pt idx="52">
                  <c:v>1381.54</c:v>
                </c:pt>
                <c:pt idx="53">
                  <c:v>1377.4369999999999</c:v>
                </c:pt>
                <c:pt idx="54">
                  <c:v>1377.38</c:v>
                </c:pt>
                <c:pt idx="55">
                  <c:v>1372.0070000000001</c:v>
                </c:pt>
                <c:pt idx="56">
                  <c:v>1368.4349999999999</c:v>
                </c:pt>
                <c:pt idx="57">
                  <c:v>1363.127</c:v>
                </c:pt>
                <c:pt idx="58">
                  <c:v>1362.9580000000001</c:v>
                </c:pt>
                <c:pt idx="59">
                  <c:v>1363.164</c:v>
                </c:pt>
                <c:pt idx="60">
                  <c:v>1390.7470000000001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5A-46EC-BD82-0319FDADA042}"/>
            </c:ext>
          </c:extLst>
        </c:ser>
        <c:ser>
          <c:idx val="1"/>
          <c:order val="1"/>
          <c:tx>
            <c:strRef>
              <c:f>'LC1'!$N$66</c:f>
              <c:strCache>
                <c:ptCount val="1"/>
                <c:pt idx="0">
                  <c:v>L.G.H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'LC1'!$L$68:$L$128</c:f>
              <c:numCache>
                <c:formatCode>General</c:formatCode>
                <c:ptCount val="61"/>
                <c:pt idx="0">
                  <c:v>0</c:v>
                </c:pt>
                <c:pt idx="1">
                  <c:v>6.26</c:v>
                </c:pt>
                <c:pt idx="2">
                  <c:v>30.69</c:v>
                </c:pt>
                <c:pt idx="3">
                  <c:v>41.74</c:v>
                </c:pt>
                <c:pt idx="4">
                  <c:v>67.61</c:v>
                </c:pt>
                <c:pt idx="5">
                  <c:v>103.72</c:v>
                </c:pt>
                <c:pt idx="6">
                  <c:v>126.91</c:v>
                </c:pt>
                <c:pt idx="7">
                  <c:v>140.82</c:v>
                </c:pt>
                <c:pt idx="8">
                  <c:v>172.3</c:v>
                </c:pt>
                <c:pt idx="9">
                  <c:v>220.9</c:v>
                </c:pt>
                <c:pt idx="10">
                  <c:v>229.92</c:v>
                </c:pt>
                <c:pt idx="11">
                  <c:v>273.81</c:v>
                </c:pt>
                <c:pt idx="12">
                  <c:v>313.12</c:v>
                </c:pt>
                <c:pt idx="13">
                  <c:v>388.12</c:v>
                </c:pt>
                <c:pt idx="14">
                  <c:v>480.29</c:v>
                </c:pt>
                <c:pt idx="15">
                  <c:v>502.11</c:v>
                </c:pt>
                <c:pt idx="16">
                  <c:v>538.46</c:v>
                </c:pt>
                <c:pt idx="17">
                  <c:v>546.6</c:v>
                </c:pt>
                <c:pt idx="18">
                  <c:v>616.88</c:v>
                </c:pt>
                <c:pt idx="19">
                  <c:v>666.3</c:v>
                </c:pt>
                <c:pt idx="20">
                  <c:v>674.99</c:v>
                </c:pt>
                <c:pt idx="21">
                  <c:v>713.36</c:v>
                </c:pt>
                <c:pt idx="22">
                  <c:v>739.48</c:v>
                </c:pt>
                <c:pt idx="23">
                  <c:v>793.94</c:v>
                </c:pt>
                <c:pt idx="24">
                  <c:v>869.12</c:v>
                </c:pt>
                <c:pt idx="25">
                  <c:v>949.31</c:v>
                </c:pt>
                <c:pt idx="26">
                  <c:v>1014.47</c:v>
                </c:pt>
                <c:pt idx="27">
                  <c:v>1050.96</c:v>
                </c:pt>
                <c:pt idx="28">
                  <c:v>1157.1600000000001</c:v>
                </c:pt>
                <c:pt idx="29">
                  <c:v>1264.29</c:v>
                </c:pt>
                <c:pt idx="30">
                  <c:v>1274.55</c:v>
                </c:pt>
                <c:pt idx="31">
                  <c:v>1369.53</c:v>
                </c:pt>
                <c:pt idx="32">
                  <c:v>1434.52</c:v>
                </c:pt>
                <c:pt idx="33">
                  <c:v>1454.91</c:v>
                </c:pt>
                <c:pt idx="34">
                  <c:v>1524.23</c:v>
                </c:pt>
                <c:pt idx="35">
                  <c:v>1704.33</c:v>
                </c:pt>
                <c:pt idx="36">
                  <c:v>1807.63</c:v>
                </c:pt>
                <c:pt idx="37">
                  <c:v>1830.83</c:v>
                </c:pt>
                <c:pt idx="38">
                  <c:v>1871.27</c:v>
                </c:pt>
                <c:pt idx="39">
                  <c:v>1912.05</c:v>
                </c:pt>
                <c:pt idx="40">
                  <c:v>1970.16</c:v>
                </c:pt>
                <c:pt idx="41">
                  <c:v>1993.94</c:v>
                </c:pt>
                <c:pt idx="42">
                  <c:v>2048.9299999999998</c:v>
                </c:pt>
                <c:pt idx="43">
                  <c:v>2085.1999999999998</c:v>
                </c:pt>
                <c:pt idx="44">
                  <c:v>2101.5100000000002</c:v>
                </c:pt>
                <c:pt idx="45">
                  <c:v>2125.12</c:v>
                </c:pt>
                <c:pt idx="46">
                  <c:v>2150.66</c:v>
                </c:pt>
                <c:pt idx="47">
                  <c:v>2181.96</c:v>
                </c:pt>
                <c:pt idx="48">
                  <c:v>2239.04</c:v>
                </c:pt>
                <c:pt idx="49">
                  <c:v>2299.73</c:v>
                </c:pt>
                <c:pt idx="50">
                  <c:v>2326.77</c:v>
                </c:pt>
                <c:pt idx="51">
                  <c:v>2385.64</c:v>
                </c:pt>
                <c:pt idx="52">
                  <c:v>2408.8200000000002</c:v>
                </c:pt>
                <c:pt idx="53">
                  <c:v>2457.9499999999998</c:v>
                </c:pt>
                <c:pt idx="54">
                  <c:v>2526.9299999999998</c:v>
                </c:pt>
                <c:pt idx="55">
                  <c:v>2615.38</c:v>
                </c:pt>
                <c:pt idx="56">
                  <c:v>2694.5</c:v>
                </c:pt>
                <c:pt idx="57">
                  <c:v>2770.6</c:v>
                </c:pt>
                <c:pt idx="58">
                  <c:v>2780.04</c:v>
                </c:pt>
                <c:pt idx="59">
                  <c:v>2788.62</c:v>
                </c:pt>
                <c:pt idx="60">
                  <c:v>2929.99</c:v>
                </c:pt>
              </c:numCache>
            </c:numRef>
          </c:xVal>
          <c:yVal>
            <c:numRef>
              <c:f>'LC1'!$N$68:$N$128</c:f>
              <c:numCache>
                <c:formatCode>0.00</c:formatCode>
                <c:ptCount val="61"/>
                <c:pt idx="0" formatCode="General">
                  <c:v>1505.739</c:v>
                </c:pt>
                <c:pt idx="1">
                  <c:v>1505.5760249335169</c:v>
                </c:pt>
                <c:pt idx="2">
                  <c:v>1504.93994173178</c:v>
                </c:pt>
                <c:pt idx="3">
                  <c:v>1504.6527164717081</c:v>
                </c:pt>
                <c:pt idx="4">
                  <c:v>1503.9719668840139</c:v>
                </c:pt>
                <c:pt idx="5">
                  <c:v>1503.0334122895256</c:v>
                </c:pt>
                <c:pt idx="6">
                  <c:v>1502.4307199678799</c:v>
                </c:pt>
                <c:pt idx="7">
                  <c:v>1502.0680127994015</c:v>
                </c:pt>
                <c:pt idx="8">
                  <c:v>1501.2433690400526</c:v>
                </c:pt>
                <c:pt idx="9">
                  <c:v>1499.9803864378632</c:v>
                </c:pt>
                <c:pt idx="10">
                  <c:v>1499.746422114313</c:v>
                </c:pt>
                <c:pt idx="11">
                  <c:v>1498.6077857873079</c:v>
                </c:pt>
                <c:pt idx="12">
                  <c:v>1497.588147830551</c:v>
                </c:pt>
                <c:pt idx="13">
                  <c:v>1495.6420360014324</c:v>
                </c:pt>
                <c:pt idx="14">
                  <c:v>1493.2509500231151</c:v>
                </c:pt>
                <c:pt idx="15">
                  <c:v>1492.6845421600863</c:v>
                </c:pt>
                <c:pt idx="16">
                  <c:v>1491.7402940179909</c:v>
                </c:pt>
                <c:pt idx="17">
                  <c:v>1491.5256708104166</c:v>
                </c:pt>
                <c:pt idx="18">
                  <c:v>1489.7006191070782</c:v>
                </c:pt>
                <c:pt idx="19">
                  <c:v>1488.4160023883132</c:v>
                </c:pt>
                <c:pt idx="20">
                  <c:v>1488.1897710058265</c:v>
                </c:pt>
                <c:pt idx="21">
                  <c:v>1487.1944706409759</c:v>
                </c:pt>
                <c:pt idx="22">
                  <c:v>1486.514619522419</c:v>
                </c:pt>
                <c:pt idx="23">
                  <c:v>1485.1010009402771</c:v>
                </c:pt>
                <c:pt idx="24">
                  <c:v>1483.1508916831051</c:v>
                </c:pt>
                <c:pt idx="25">
                  <c:v>1481.0681822984238</c:v>
                </c:pt>
                <c:pt idx="26">
                  <c:v>1479.377871601303</c:v>
                </c:pt>
                <c:pt idx="27">
                  <c:v>1478.4288495823685</c:v>
                </c:pt>
                <c:pt idx="28">
                  <c:v>1475.6713609444189</c:v>
                </c:pt>
                <c:pt idx="29">
                  <c:v>1472.8872606146922</c:v>
                </c:pt>
                <c:pt idx="30">
                  <c:v>1472.6210009411095</c:v>
                </c:pt>
                <c:pt idx="31">
                  <c:v>1470.1514915297168</c:v>
                </c:pt>
                <c:pt idx="32">
                  <c:v>1468.4644608114718</c:v>
                </c:pt>
                <c:pt idx="33">
                  <c:v>1467.9298189200538</c:v>
                </c:pt>
                <c:pt idx="34">
                  <c:v>1466.128318893836</c:v>
                </c:pt>
                <c:pt idx="35">
                  <c:v>1461.4532522089251</c:v>
                </c:pt>
                <c:pt idx="36">
                  <c:v>1458.773040623696</c:v>
                </c:pt>
                <c:pt idx="37">
                  <c:v>1458.1692021408594</c:v>
                </c:pt>
                <c:pt idx="38">
                  <c:v>1457.1183384404171</c:v>
                </c:pt>
                <c:pt idx="39">
                  <c:v>1456.0600137563395</c:v>
                </c:pt>
                <c:pt idx="40">
                  <c:v>1454.5508311576064</c:v>
                </c:pt>
                <c:pt idx="41">
                  <c:v>1453.9311129837902</c:v>
                </c:pt>
                <c:pt idx="42">
                  <c:v>1452.5033195557812</c:v>
                </c:pt>
                <c:pt idx="43">
                  <c:v>1451.5602084410352</c:v>
                </c:pt>
                <c:pt idx="44">
                  <c:v>1451.1371475027793</c:v>
                </c:pt>
                <c:pt idx="45">
                  <c:v>1450.5235058895953</c:v>
                </c:pt>
                <c:pt idx="46">
                  <c:v>1449.8609460907221</c:v>
                </c:pt>
                <c:pt idx="47">
                  <c:v>1449.0470332821073</c:v>
                </c:pt>
                <c:pt idx="48">
                  <c:v>1447.5583077315594</c:v>
                </c:pt>
                <c:pt idx="49">
                  <c:v>1445.983165037635</c:v>
                </c:pt>
                <c:pt idx="50">
                  <c:v>1445.2793369672829</c:v>
                </c:pt>
                <c:pt idx="51">
                  <c:v>1443.7400545213707</c:v>
                </c:pt>
                <c:pt idx="52">
                  <c:v>1443.1361496494978</c:v>
                </c:pt>
                <c:pt idx="53">
                  <c:v>1441.8573605720287</c:v>
                </c:pt>
                <c:pt idx="54">
                  <c:v>1440.0681301728241</c:v>
                </c:pt>
                <c:pt idx="55">
                  <c:v>1437.7696509239483</c:v>
                </c:pt>
                <c:pt idx="56">
                  <c:v>1435.7153155176768</c:v>
                </c:pt>
                <c:pt idx="57">
                  <c:v>1433.7366086093832</c:v>
                </c:pt>
                <c:pt idx="58">
                  <c:v>1433.4917110206754</c:v>
                </c:pt>
                <c:pt idx="59">
                  <c:v>1433.2690955431324</c:v>
                </c:pt>
                <c:pt idx="60">
                  <c:v>1429.5330406885146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5A-46EC-BD82-0319FDADA042}"/>
            </c:ext>
          </c:extLst>
        </c:ser>
        <c:ser>
          <c:idx val="2"/>
          <c:order val="2"/>
          <c:tx>
            <c:strRef>
              <c:f>'LC1'!$P$67</c:f>
              <c:strCache>
                <c:ptCount val="1"/>
                <c:pt idx="0">
                  <c:v>L.P.Estatica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'LC1'!$L$68:$L$128</c:f>
              <c:numCache>
                <c:formatCode>General</c:formatCode>
                <c:ptCount val="61"/>
                <c:pt idx="0">
                  <c:v>0</c:v>
                </c:pt>
                <c:pt idx="1">
                  <c:v>6.26</c:v>
                </c:pt>
                <c:pt idx="2">
                  <c:v>30.69</c:v>
                </c:pt>
                <c:pt idx="3">
                  <c:v>41.74</c:v>
                </c:pt>
                <c:pt idx="4">
                  <c:v>67.61</c:v>
                </c:pt>
                <c:pt idx="5">
                  <c:v>103.72</c:v>
                </c:pt>
                <c:pt idx="6">
                  <c:v>126.91</c:v>
                </c:pt>
                <c:pt idx="7">
                  <c:v>140.82</c:v>
                </c:pt>
                <c:pt idx="8">
                  <c:v>172.3</c:v>
                </c:pt>
                <c:pt idx="9">
                  <c:v>220.9</c:v>
                </c:pt>
                <c:pt idx="10">
                  <c:v>229.92</c:v>
                </c:pt>
                <c:pt idx="11">
                  <c:v>273.81</c:v>
                </c:pt>
                <c:pt idx="12">
                  <c:v>313.12</c:v>
                </c:pt>
                <c:pt idx="13">
                  <c:v>388.12</c:v>
                </c:pt>
                <c:pt idx="14">
                  <c:v>480.29</c:v>
                </c:pt>
                <c:pt idx="15">
                  <c:v>502.11</c:v>
                </c:pt>
                <c:pt idx="16">
                  <c:v>538.46</c:v>
                </c:pt>
                <c:pt idx="17">
                  <c:v>546.6</c:v>
                </c:pt>
                <c:pt idx="18">
                  <c:v>616.88</c:v>
                </c:pt>
                <c:pt idx="19">
                  <c:v>666.3</c:v>
                </c:pt>
                <c:pt idx="20">
                  <c:v>674.99</c:v>
                </c:pt>
                <c:pt idx="21">
                  <c:v>713.36</c:v>
                </c:pt>
                <c:pt idx="22">
                  <c:v>739.48</c:v>
                </c:pt>
                <c:pt idx="23">
                  <c:v>793.94</c:v>
                </c:pt>
                <c:pt idx="24">
                  <c:v>869.12</c:v>
                </c:pt>
                <c:pt idx="25">
                  <c:v>949.31</c:v>
                </c:pt>
                <c:pt idx="26">
                  <c:v>1014.47</c:v>
                </c:pt>
                <c:pt idx="27">
                  <c:v>1050.96</c:v>
                </c:pt>
                <c:pt idx="28">
                  <c:v>1157.1600000000001</c:v>
                </c:pt>
                <c:pt idx="29">
                  <c:v>1264.29</c:v>
                </c:pt>
                <c:pt idx="30">
                  <c:v>1274.55</c:v>
                </c:pt>
                <c:pt idx="31">
                  <c:v>1369.53</c:v>
                </c:pt>
                <c:pt idx="32">
                  <c:v>1434.52</c:v>
                </c:pt>
                <c:pt idx="33">
                  <c:v>1454.91</c:v>
                </c:pt>
                <c:pt idx="34">
                  <c:v>1524.23</c:v>
                </c:pt>
                <c:pt idx="35">
                  <c:v>1704.33</c:v>
                </c:pt>
                <c:pt idx="36">
                  <c:v>1807.63</c:v>
                </c:pt>
                <c:pt idx="37">
                  <c:v>1830.83</c:v>
                </c:pt>
                <c:pt idx="38">
                  <c:v>1871.27</c:v>
                </c:pt>
                <c:pt idx="39">
                  <c:v>1912.05</c:v>
                </c:pt>
                <c:pt idx="40">
                  <c:v>1970.16</c:v>
                </c:pt>
                <c:pt idx="41">
                  <c:v>1993.94</c:v>
                </c:pt>
                <c:pt idx="42">
                  <c:v>2048.9299999999998</c:v>
                </c:pt>
                <c:pt idx="43">
                  <c:v>2085.1999999999998</c:v>
                </c:pt>
                <c:pt idx="44">
                  <c:v>2101.5100000000002</c:v>
                </c:pt>
                <c:pt idx="45">
                  <c:v>2125.12</c:v>
                </c:pt>
                <c:pt idx="46">
                  <c:v>2150.66</c:v>
                </c:pt>
                <c:pt idx="47">
                  <c:v>2181.96</c:v>
                </c:pt>
                <c:pt idx="48">
                  <c:v>2239.04</c:v>
                </c:pt>
                <c:pt idx="49">
                  <c:v>2299.73</c:v>
                </c:pt>
                <c:pt idx="50">
                  <c:v>2326.77</c:v>
                </c:pt>
                <c:pt idx="51">
                  <c:v>2385.64</c:v>
                </c:pt>
                <c:pt idx="52">
                  <c:v>2408.8200000000002</c:v>
                </c:pt>
                <c:pt idx="53">
                  <c:v>2457.9499999999998</c:v>
                </c:pt>
                <c:pt idx="54">
                  <c:v>2526.9299999999998</c:v>
                </c:pt>
                <c:pt idx="55">
                  <c:v>2615.38</c:v>
                </c:pt>
                <c:pt idx="56">
                  <c:v>2694.5</c:v>
                </c:pt>
                <c:pt idx="57">
                  <c:v>2770.6</c:v>
                </c:pt>
                <c:pt idx="58">
                  <c:v>2780.04</c:v>
                </c:pt>
                <c:pt idx="59">
                  <c:v>2788.62</c:v>
                </c:pt>
                <c:pt idx="60">
                  <c:v>2929.99</c:v>
                </c:pt>
              </c:numCache>
            </c:numRef>
          </c:xVal>
          <c:yVal>
            <c:numRef>
              <c:f>'LC1'!$P$68:$P$128</c:f>
              <c:numCache>
                <c:formatCode>General</c:formatCode>
                <c:ptCount val="61"/>
                <c:pt idx="0">
                  <c:v>1505.739</c:v>
                </c:pt>
                <c:pt idx="1">
                  <c:v>1505.739</c:v>
                </c:pt>
                <c:pt idx="2">
                  <c:v>1505.739</c:v>
                </c:pt>
                <c:pt idx="3">
                  <c:v>1505.739</c:v>
                </c:pt>
                <c:pt idx="4">
                  <c:v>1505.739</c:v>
                </c:pt>
                <c:pt idx="5">
                  <c:v>1505.739</c:v>
                </c:pt>
                <c:pt idx="6">
                  <c:v>1505.739</c:v>
                </c:pt>
                <c:pt idx="7">
                  <c:v>1505.739</c:v>
                </c:pt>
                <c:pt idx="8">
                  <c:v>1505.739</c:v>
                </c:pt>
                <c:pt idx="9">
                  <c:v>1505.739</c:v>
                </c:pt>
                <c:pt idx="10">
                  <c:v>1505.739</c:v>
                </c:pt>
                <c:pt idx="11">
                  <c:v>1505.739</c:v>
                </c:pt>
                <c:pt idx="12">
                  <c:v>1505.739</c:v>
                </c:pt>
                <c:pt idx="13">
                  <c:v>1505.739</c:v>
                </c:pt>
                <c:pt idx="14">
                  <c:v>1505.739</c:v>
                </c:pt>
                <c:pt idx="15">
                  <c:v>1505.739</c:v>
                </c:pt>
                <c:pt idx="16">
                  <c:v>1505.739</c:v>
                </c:pt>
                <c:pt idx="17">
                  <c:v>1505.739</c:v>
                </c:pt>
                <c:pt idx="18">
                  <c:v>1505.739</c:v>
                </c:pt>
                <c:pt idx="19">
                  <c:v>1505.739</c:v>
                </c:pt>
                <c:pt idx="20">
                  <c:v>1505.739</c:v>
                </c:pt>
                <c:pt idx="21">
                  <c:v>1505.739</c:v>
                </c:pt>
                <c:pt idx="22">
                  <c:v>1505.739</c:v>
                </c:pt>
                <c:pt idx="23">
                  <c:v>1505.739</c:v>
                </c:pt>
                <c:pt idx="24">
                  <c:v>1505.739</c:v>
                </c:pt>
                <c:pt idx="25">
                  <c:v>1505.739</c:v>
                </c:pt>
                <c:pt idx="26">
                  <c:v>1505.739</c:v>
                </c:pt>
                <c:pt idx="27">
                  <c:v>1505.739</c:v>
                </c:pt>
                <c:pt idx="28">
                  <c:v>1505.739</c:v>
                </c:pt>
                <c:pt idx="29">
                  <c:v>1505.739</c:v>
                </c:pt>
                <c:pt idx="30">
                  <c:v>1505.739</c:v>
                </c:pt>
                <c:pt idx="31">
                  <c:v>1505.739</c:v>
                </c:pt>
                <c:pt idx="32">
                  <c:v>1505.739</c:v>
                </c:pt>
                <c:pt idx="33">
                  <c:v>1505.739</c:v>
                </c:pt>
                <c:pt idx="34">
                  <c:v>1505.739</c:v>
                </c:pt>
                <c:pt idx="35">
                  <c:v>1505.739</c:v>
                </c:pt>
                <c:pt idx="36">
                  <c:v>1505.739</c:v>
                </c:pt>
                <c:pt idx="37">
                  <c:v>1505.739</c:v>
                </c:pt>
                <c:pt idx="38">
                  <c:v>1505.739</c:v>
                </c:pt>
                <c:pt idx="39">
                  <c:v>1505.739</c:v>
                </c:pt>
                <c:pt idx="40">
                  <c:v>1505.739</c:v>
                </c:pt>
                <c:pt idx="41">
                  <c:v>1505.739</c:v>
                </c:pt>
                <c:pt idx="42">
                  <c:v>1505.739</c:v>
                </c:pt>
                <c:pt idx="43">
                  <c:v>1505.739</c:v>
                </c:pt>
                <c:pt idx="44">
                  <c:v>1505.739</c:v>
                </c:pt>
                <c:pt idx="45">
                  <c:v>1505.739</c:v>
                </c:pt>
                <c:pt idx="46">
                  <c:v>1505.739</c:v>
                </c:pt>
                <c:pt idx="47">
                  <c:v>1505.739</c:v>
                </c:pt>
                <c:pt idx="48">
                  <c:v>1505.739</c:v>
                </c:pt>
                <c:pt idx="49">
                  <c:v>1505.739</c:v>
                </c:pt>
                <c:pt idx="50">
                  <c:v>1505.739</c:v>
                </c:pt>
                <c:pt idx="51">
                  <c:v>1505.739</c:v>
                </c:pt>
                <c:pt idx="52">
                  <c:v>1505.739</c:v>
                </c:pt>
                <c:pt idx="53">
                  <c:v>1505.739</c:v>
                </c:pt>
                <c:pt idx="54">
                  <c:v>1505.739</c:v>
                </c:pt>
                <c:pt idx="55">
                  <c:v>1505.739</c:v>
                </c:pt>
                <c:pt idx="56">
                  <c:v>1505.739</c:v>
                </c:pt>
                <c:pt idx="57">
                  <c:v>1505.739</c:v>
                </c:pt>
                <c:pt idx="58">
                  <c:v>1505.739</c:v>
                </c:pt>
                <c:pt idx="59">
                  <c:v>1505.739</c:v>
                </c:pt>
                <c:pt idx="60">
                  <c:v>1505.739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5A-46EC-BD82-0319FDAD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729088"/>
        <c:axId val="266727648"/>
      </c:scatterChart>
      <c:valAx>
        <c:axId val="266729088"/>
        <c:scaling>
          <c:orientation val="minMax"/>
          <c:max val="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>
                    <a:solidFill>
                      <a:sysClr val="windowText" lastClr="000000"/>
                    </a:solidFill>
                  </a:rPr>
                  <a:t>DISTANCIA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66727648"/>
        <c:crosses val="autoZero"/>
        <c:crossBetween val="midCat"/>
      </c:valAx>
      <c:valAx>
        <c:axId val="2667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>
                    <a:solidFill>
                      <a:sysClr val="windowText" lastClr="000000"/>
                    </a:solidFill>
                  </a:rPr>
                  <a:t>ELEVACION (m.s.n.m)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66729088"/>
        <c:crosses val="autoZero"/>
        <c:crossBetween val="midCat"/>
      </c:valAx>
      <c:spPr>
        <a:solidFill>
          <a:srgbClr val="FFFFCC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159715800649466"/>
          <c:y val="0.7543388567239131"/>
          <c:w val="0.13999262808698856"/>
          <c:h val="0.11849674068004533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ysClr val="windowText" lastClr="000000"/>
                </a:solidFill>
              </a:rPr>
              <a:t>PRESION DINAMICA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'LC1'!$O$67</c:f>
              <c:strCache>
                <c:ptCount val="1"/>
                <c:pt idx="0">
                  <c:v>p/y (mca)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'LC1'!$L$68:$L$128</c:f>
              <c:numCache>
                <c:formatCode>General</c:formatCode>
                <c:ptCount val="61"/>
                <c:pt idx="0">
                  <c:v>0</c:v>
                </c:pt>
                <c:pt idx="1">
                  <c:v>6.26</c:v>
                </c:pt>
                <c:pt idx="2">
                  <c:v>30.69</c:v>
                </c:pt>
                <c:pt idx="3">
                  <c:v>41.74</c:v>
                </c:pt>
                <c:pt idx="4">
                  <c:v>67.61</c:v>
                </c:pt>
                <c:pt idx="5">
                  <c:v>103.72</c:v>
                </c:pt>
                <c:pt idx="6">
                  <c:v>126.91</c:v>
                </c:pt>
                <c:pt idx="7">
                  <c:v>140.82</c:v>
                </c:pt>
                <c:pt idx="8">
                  <c:v>172.3</c:v>
                </c:pt>
                <c:pt idx="9">
                  <c:v>220.9</c:v>
                </c:pt>
                <c:pt idx="10">
                  <c:v>229.92</c:v>
                </c:pt>
                <c:pt idx="11">
                  <c:v>273.81</c:v>
                </c:pt>
                <c:pt idx="12">
                  <c:v>313.12</c:v>
                </c:pt>
                <c:pt idx="13">
                  <c:v>388.12</c:v>
                </c:pt>
                <c:pt idx="14">
                  <c:v>480.29</c:v>
                </c:pt>
                <c:pt idx="15">
                  <c:v>502.11</c:v>
                </c:pt>
                <c:pt idx="16">
                  <c:v>538.46</c:v>
                </c:pt>
                <c:pt idx="17">
                  <c:v>546.6</c:v>
                </c:pt>
                <c:pt idx="18">
                  <c:v>616.88</c:v>
                </c:pt>
                <c:pt idx="19">
                  <c:v>666.3</c:v>
                </c:pt>
                <c:pt idx="20">
                  <c:v>674.99</c:v>
                </c:pt>
                <c:pt idx="21">
                  <c:v>713.36</c:v>
                </c:pt>
                <c:pt idx="22">
                  <c:v>739.48</c:v>
                </c:pt>
                <c:pt idx="23">
                  <c:v>793.94</c:v>
                </c:pt>
                <c:pt idx="24">
                  <c:v>869.12</c:v>
                </c:pt>
                <c:pt idx="25">
                  <c:v>949.31</c:v>
                </c:pt>
                <c:pt idx="26">
                  <c:v>1014.47</c:v>
                </c:pt>
                <c:pt idx="27">
                  <c:v>1050.96</c:v>
                </c:pt>
                <c:pt idx="28">
                  <c:v>1157.1600000000001</c:v>
                </c:pt>
                <c:pt idx="29">
                  <c:v>1264.29</c:v>
                </c:pt>
                <c:pt idx="30">
                  <c:v>1274.55</c:v>
                </c:pt>
                <c:pt idx="31">
                  <c:v>1369.53</c:v>
                </c:pt>
                <c:pt idx="32">
                  <c:v>1434.52</c:v>
                </c:pt>
                <c:pt idx="33">
                  <c:v>1454.91</c:v>
                </c:pt>
                <c:pt idx="34">
                  <c:v>1524.23</c:v>
                </c:pt>
                <c:pt idx="35">
                  <c:v>1704.33</c:v>
                </c:pt>
                <c:pt idx="36">
                  <c:v>1807.63</c:v>
                </c:pt>
                <c:pt idx="37">
                  <c:v>1830.83</c:v>
                </c:pt>
                <c:pt idx="38">
                  <c:v>1871.27</c:v>
                </c:pt>
                <c:pt idx="39">
                  <c:v>1912.05</c:v>
                </c:pt>
                <c:pt idx="40">
                  <c:v>1970.16</c:v>
                </c:pt>
                <c:pt idx="41">
                  <c:v>1993.94</c:v>
                </c:pt>
                <c:pt idx="42">
                  <c:v>2048.9299999999998</c:v>
                </c:pt>
                <c:pt idx="43">
                  <c:v>2085.1999999999998</c:v>
                </c:pt>
                <c:pt idx="44">
                  <c:v>2101.5100000000002</c:v>
                </c:pt>
                <c:pt idx="45">
                  <c:v>2125.12</c:v>
                </c:pt>
                <c:pt idx="46">
                  <c:v>2150.66</c:v>
                </c:pt>
                <c:pt idx="47">
                  <c:v>2181.96</c:v>
                </c:pt>
                <c:pt idx="48">
                  <c:v>2239.04</c:v>
                </c:pt>
                <c:pt idx="49">
                  <c:v>2299.73</c:v>
                </c:pt>
                <c:pt idx="50">
                  <c:v>2326.77</c:v>
                </c:pt>
                <c:pt idx="51">
                  <c:v>2385.64</c:v>
                </c:pt>
                <c:pt idx="52">
                  <c:v>2408.8200000000002</c:v>
                </c:pt>
                <c:pt idx="53">
                  <c:v>2457.9499999999998</c:v>
                </c:pt>
                <c:pt idx="54">
                  <c:v>2526.9299999999998</c:v>
                </c:pt>
                <c:pt idx="55">
                  <c:v>2615.38</c:v>
                </c:pt>
                <c:pt idx="56">
                  <c:v>2694.5</c:v>
                </c:pt>
                <c:pt idx="57">
                  <c:v>2770.6</c:v>
                </c:pt>
                <c:pt idx="58">
                  <c:v>2780.04</c:v>
                </c:pt>
                <c:pt idx="59">
                  <c:v>2788.62</c:v>
                </c:pt>
                <c:pt idx="60">
                  <c:v>2929.99</c:v>
                </c:pt>
              </c:numCache>
            </c:numRef>
          </c:xVal>
          <c:yVal>
            <c:numRef>
              <c:f>'LC1'!$O$68:$O$128</c:f>
              <c:numCache>
                <c:formatCode>0.00</c:formatCode>
                <c:ptCount val="61"/>
                <c:pt idx="0">
                  <c:v>0</c:v>
                </c:pt>
                <c:pt idx="1">
                  <c:v>0.37602493351687372</c:v>
                </c:pt>
                <c:pt idx="2">
                  <c:v>1.871941731779998</c:v>
                </c:pt>
                <c:pt idx="3">
                  <c:v>2.3037164717081851</c:v>
                </c:pt>
                <c:pt idx="4">
                  <c:v>6.042966884013822</c:v>
                </c:pt>
                <c:pt idx="5">
                  <c:v>7.4174122895256005</c:v>
                </c:pt>
                <c:pt idx="6">
                  <c:v>8.2687199678798606</c:v>
                </c:pt>
                <c:pt idx="7">
                  <c:v>9.3370127994014638</c:v>
                </c:pt>
                <c:pt idx="8">
                  <c:v>12.958369040052503</c:v>
                </c:pt>
                <c:pt idx="9">
                  <c:v>14.681386437863239</c:v>
                </c:pt>
                <c:pt idx="10">
                  <c:v>14.439422114312947</c:v>
                </c:pt>
                <c:pt idx="11">
                  <c:v>12.47678578730779</c:v>
                </c:pt>
                <c:pt idx="12">
                  <c:v>11.445147830550923</c:v>
                </c:pt>
                <c:pt idx="13">
                  <c:v>11.558036001432356</c:v>
                </c:pt>
                <c:pt idx="14">
                  <c:v>10.732950023115109</c:v>
                </c:pt>
                <c:pt idx="15">
                  <c:v>11.019542160086303</c:v>
                </c:pt>
                <c:pt idx="16">
                  <c:v>12.048294017990884</c:v>
                </c:pt>
                <c:pt idx="17">
                  <c:v>13.318670810416506</c:v>
                </c:pt>
                <c:pt idx="18">
                  <c:v>14.869619107078279</c:v>
                </c:pt>
                <c:pt idx="19">
                  <c:v>16.819002388313265</c:v>
                </c:pt>
                <c:pt idx="20">
                  <c:v>17.337771005826426</c:v>
                </c:pt>
                <c:pt idx="21">
                  <c:v>16.705470640975818</c:v>
                </c:pt>
                <c:pt idx="22">
                  <c:v>18.198619522418994</c:v>
                </c:pt>
                <c:pt idx="23">
                  <c:v>18.849000940277165</c:v>
                </c:pt>
                <c:pt idx="24">
                  <c:v>17.495891683105128</c:v>
                </c:pt>
                <c:pt idx="25">
                  <c:v>19.50818229842389</c:v>
                </c:pt>
                <c:pt idx="26">
                  <c:v>18.729871601303103</c:v>
                </c:pt>
                <c:pt idx="27">
                  <c:v>20.450849582368392</c:v>
                </c:pt>
                <c:pt idx="28">
                  <c:v>22.510360944418835</c:v>
                </c:pt>
                <c:pt idx="29">
                  <c:v>26.359260614692175</c:v>
                </c:pt>
                <c:pt idx="30">
                  <c:v>25.770000941109402</c:v>
                </c:pt>
                <c:pt idx="31">
                  <c:v>29.867491529716744</c:v>
                </c:pt>
                <c:pt idx="32">
                  <c:v>30.728460811471678</c:v>
                </c:pt>
                <c:pt idx="33">
                  <c:v>33.210818920053725</c:v>
                </c:pt>
                <c:pt idx="34">
                  <c:v>35.706318893835942</c:v>
                </c:pt>
                <c:pt idx="35">
                  <c:v>38.067252208925083</c:v>
                </c:pt>
                <c:pt idx="36">
                  <c:v>37.874040623696146</c:v>
                </c:pt>
                <c:pt idx="37">
                  <c:v>39.195202140859465</c:v>
                </c:pt>
                <c:pt idx="38">
                  <c:v>40.589338440417123</c:v>
                </c:pt>
                <c:pt idx="39">
                  <c:v>40.855013756339531</c:v>
                </c:pt>
                <c:pt idx="40">
                  <c:v>42.266831157606248</c:v>
                </c:pt>
                <c:pt idx="41">
                  <c:v>43.957112983790239</c:v>
                </c:pt>
                <c:pt idx="42">
                  <c:v>45.002319555781241</c:v>
                </c:pt>
                <c:pt idx="43">
                  <c:v>46.61120844103516</c:v>
                </c:pt>
                <c:pt idx="44">
                  <c:v>46.274147502779215</c:v>
                </c:pt>
                <c:pt idx="45">
                  <c:v>47.161505889595219</c:v>
                </c:pt>
                <c:pt idx="46">
                  <c:v>46.069946090722169</c:v>
                </c:pt>
                <c:pt idx="47">
                  <c:v>47.477033282107413</c:v>
                </c:pt>
                <c:pt idx="48">
                  <c:v>51.990307731559369</c:v>
                </c:pt>
                <c:pt idx="49">
                  <c:v>52.515165037634915</c:v>
                </c:pt>
                <c:pt idx="50">
                  <c:v>54.075336967282965</c:v>
                </c:pt>
                <c:pt idx="51">
                  <c:v>60.020054521370639</c:v>
                </c:pt>
                <c:pt idx="52">
                  <c:v>61.596149649497875</c:v>
                </c:pt>
                <c:pt idx="53">
                  <c:v>64.420360572028812</c:v>
                </c:pt>
                <c:pt idx="54">
                  <c:v>62.688130172824003</c:v>
                </c:pt>
                <c:pt idx="55">
                  <c:v>65.762650923948286</c:v>
                </c:pt>
                <c:pt idx="56">
                  <c:v>67.280315517676854</c:v>
                </c:pt>
                <c:pt idx="57">
                  <c:v>70.609608609383258</c:v>
                </c:pt>
                <c:pt idx="58">
                  <c:v>70.533711020675355</c:v>
                </c:pt>
                <c:pt idx="59">
                  <c:v>70.105095543132393</c:v>
                </c:pt>
                <c:pt idx="60">
                  <c:v>38.786040688514504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CF-479B-8677-31EFDF9D7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729088"/>
        <c:axId val="266727648"/>
      </c:scatterChart>
      <c:valAx>
        <c:axId val="266729088"/>
        <c:scaling>
          <c:orientation val="minMax"/>
          <c:max val="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>
                    <a:solidFill>
                      <a:sysClr val="windowText" lastClr="000000"/>
                    </a:solidFill>
                  </a:rPr>
                  <a:t>DISTANCIA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66727648"/>
        <c:crosses val="autoZero"/>
        <c:crossBetween val="midCat"/>
      </c:valAx>
      <c:valAx>
        <c:axId val="2667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>
                    <a:solidFill>
                      <a:sysClr val="windowText" lastClr="000000"/>
                    </a:solidFill>
                  </a:rPr>
                  <a:t>ELEVACION (m.s.n.m)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66729088"/>
        <c:crosses val="autoZero"/>
        <c:crossBetween val="midCat"/>
      </c:valAx>
      <c:spPr>
        <a:solidFill>
          <a:srgbClr val="FFFFCC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317863938394718"/>
          <c:y val="0.1054972907737719"/>
          <c:w val="0.13999262808698856"/>
          <c:h val="0.11849674068004533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ysClr val="windowText" lastClr="000000"/>
                </a:solidFill>
              </a:rPr>
              <a:t>PERFIL DE LA LÍNEA DE CONDUCCIÓN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'LC2'!$M$65</c:f>
              <c:strCache>
                <c:ptCount val="1"/>
                <c:pt idx="0">
                  <c:v>P.V LC1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'LC2'!$L$67:$L$127</c:f>
              <c:numCache>
                <c:formatCode>General</c:formatCode>
                <c:ptCount val="61"/>
                <c:pt idx="0">
                  <c:v>0</c:v>
                </c:pt>
                <c:pt idx="1">
                  <c:v>12.21</c:v>
                </c:pt>
                <c:pt idx="2">
                  <c:v>42.78</c:v>
                </c:pt>
                <c:pt idx="3">
                  <c:v>60.12</c:v>
                </c:pt>
                <c:pt idx="4">
                  <c:v>509.53</c:v>
                </c:pt>
                <c:pt idx="5">
                  <c:v>523.04</c:v>
                </c:pt>
                <c:pt idx="6">
                  <c:v>545.99</c:v>
                </c:pt>
                <c:pt idx="7">
                  <c:v>608.19000000000005</c:v>
                </c:pt>
                <c:pt idx="8">
                  <c:v>645.77</c:v>
                </c:pt>
                <c:pt idx="9">
                  <c:v>679.11</c:v>
                </c:pt>
                <c:pt idx="10">
                  <c:v>719.13</c:v>
                </c:pt>
                <c:pt idx="11">
                  <c:v>940.05</c:v>
                </c:pt>
                <c:pt idx="12">
                  <c:v>1002.14</c:v>
                </c:pt>
                <c:pt idx="13">
                  <c:v>1060.45</c:v>
                </c:pt>
                <c:pt idx="14">
                  <c:v>1124.93</c:v>
                </c:pt>
                <c:pt idx="15">
                  <c:v>1201.3800000000001</c:v>
                </c:pt>
              </c:numCache>
            </c:numRef>
          </c:xVal>
          <c:yVal>
            <c:numRef>
              <c:f>'LC2'!$M$67:$M$127</c:f>
              <c:numCache>
                <c:formatCode>General</c:formatCode>
                <c:ptCount val="61"/>
                <c:pt idx="0">
                  <c:v>1481.059</c:v>
                </c:pt>
                <c:pt idx="1">
                  <c:v>1479.845</c:v>
                </c:pt>
                <c:pt idx="2">
                  <c:v>1477.1859999999999</c:v>
                </c:pt>
                <c:pt idx="3">
                  <c:v>1476.145</c:v>
                </c:pt>
                <c:pt idx="4">
                  <c:v>1438.251</c:v>
                </c:pt>
                <c:pt idx="5">
                  <c:v>1435.212</c:v>
                </c:pt>
                <c:pt idx="6">
                  <c:v>1435.97</c:v>
                </c:pt>
                <c:pt idx="7">
                  <c:v>1428.115</c:v>
                </c:pt>
                <c:pt idx="8">
                  <c:v>1428.1</c:v>
                </c:pt>
                <c:pt idx="9">
                  <c:v>1426.1420000000001</c:v>
                </c:pt>
                <c:pt idx="10">
                  <c:v>1425.2080000000001</c:v>
                </c:pt>
                <c:pt idx="11">
                  <c:v>1418.125</c:v>
                </c:pt>
                <c:pt idx="12">
                  <c:v>1418.0909999999999</c:v>
                </c:pt>
                <c:pt idx="13">
                  <c:v>1412.43</c:v>
                </c:pt>
                <c:pt idx="14">
                  <c:v>1403.183</c:v>
                </c:pt>
                <c:pt idx="15">
                  <c:v>1390.9829999999999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94-4FDD-8BD7-8CA7299524B5}"/>
            </c:ext>
          </c:extLst>
        </c:ser>
        <c:ser>
          <c:idx val="1"/>
          <c:order val="1"/>
          <c:tx>
            <c:strRef>
              <c:f>'LC2'!$N$65</c:f>
              <c:strCache>
                <c:ptCount val="1"/>
                <c:pt idx="0">
                  <c:v>L.G.H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'LC2'!$L$67:$L$127</c:f>
              <c:numCache>
                <c:formatCode>General</c:formatCode>
                <c:ptCount val="61"/>
                <c:pt idx="0">
                  <c:v>0</c:v>
                </c:pt>
                <c:pt idx="1">
                  <c:v>12.21</c:v>
                </c:pt>
                <c:pt idx="2">
                  <c:v>42.78</c:v>
                </c:pt>
                <c:pt idx="3">
                  <c:v>60.12</c:v>
                </c:pt>
                <c:pt idx="4">
                  <c:v>509.53</c:v>
                </c:pt>
                <c:pt idx="5">
                  <c:v>523.04</c:v>
                </c:pt>
                <c:pt idx="6">
                  <c:v>545.99</c:v>
                </c:pt>
                <c:pt idx="7">
                  <c:v>608.19000000000005</c:v>
                </c:pt>
                <c:pt idx="8">
                  <c:v>645.77</c:v>
                </c:pt>
                <c:pt idx="9">
                  <c:v>679.11</c:v>
                </c:pt>
                <c:pt idx="10">
                  <c:v>719.13</c:v>
                </c:pt>
                <c:pt idx="11">
                  <c:v>940.05</c:v>
                </c:pt>
                <c:pt idx="12">
                  <c:v>1002.14</c:v>
                </c:pt>
                <c:pt idx="13">
                  <c:v>1060.45</c:v>
                </c:pt>
                <c:pt idx="14">
                  <c:v>1124.93</c:v>
                </c:pt>
                <c:pt idx="15">
                  <c:v>1201.3800000000001</c:v>
                </c:pt>
              </c:numCache>
            </c:numRef>
          </c:xVal>
          <c:yVal>
            <c:numRef>
              <c:f>'LC2'!$N$67:$N$127</c:f>
              <c:numCache>
                <c:formatCode>0.00</c:formatCode>
                <c:ptCount val="61"/>
                <c:pt idx="0" formatCode="General">
                  <c:v>1481.059</c:v>
                </c:pt>
                <c:pt idx="1">
                  <c:v>1480.8465260453338</c:v>
                </c:pt>
                <c:pt idx="2">
                  <c:v>1480.3151694856926</c:v>
                </c:pt>
                <c:pt idx="3">
                  <c:v>1480.014365039759</c:v>
                </c:pt>
                <c:pt idx="4">
                  <c:v>1472.2046521381687</c:v>
                </c:pt>
                <c:pt idx="5">
                  <c:v>1471.9648638405129</c:v>
                </c:pt>
                <c:pt idx="6">
                  <c:v>1471.5672391235621</c:v>
                </c:pt>
                <c:pt idx="7">
                  <c:v>1470.4816134642074</c:v>
                </c:pt>
                <c:pt idx="8">
                  <c:v>1469.8308686091957</c:v>
                </c:pt>
                <c:pt idx="9">
                  <c:v>1469.2525499801475</c:v>
                </c:pt>
                <c:pt idx="10">
                  <c:v>1468.5593648144898</c:v>
                </c:pt>
                <c:pt idx="11">
                  <c:v>1464.7318924355104</c:v>
                </c:pt>
                <c:pt idx="12">
                  <c:v>1463.656726100043</c:v>
                </c:pt>
                <c:pt idx="13">
                  <c:v>1462.6422680551887</c:v>
                </c:pt>
                <c:pt idx="14">
                  <c:v>1461.5142929158758</c:v>
                </c:pt>
                <c:pt idx="15">
                  <c:v>1460.1737148653833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94-4FDD-8BD7-8CA7299524B5}"/>
            </c:ext>
          </c:extLst>
        </c:ser>
        <c:ser>
          <c:idx val="2"/>
          <c:order val="2"/>
          <c:tx>
            <c:strRef>
              <c:f>'LC2'!$P$66</c:f>
              <c:strCache>
                <c:ptCount val="1"/>
                <c:pt idx="0">
                  <c:v>L.P.Estatica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'LC2'!$L$67:$L$127</c:f>
              <c:numCache>
                <c:formatCode>General</c:formatCode>
                <c:ptCount val="61"/>
                <c:pt idx="0">
                  <c:v>0</c:v>
                </c:pt>
                <c:pt idx="1">
                  <c:v>12.21</c:v>
                </c:pt>
                <c:pt idx="2">
                  <c:v>42.78</c:v>
                </c:pt>
                <c:pt idx="3">
                  <c:v>60.12</c:v>
                </c:pt>
                <c:pt idx="4">
                  <c:v>509.53</c:v>
                </c:pt>
                <c:pt idx="5">
                  <c:v>523.04</c:v>
                </c:pt>
                <c:pt idx="6">
                  <c:v>545.99</c:v>
                </c:pt>
                <c:pt idx="7">
                  <c:v>608.19000000000005</c:v>
                </c:pt>
                <c:pt idx="8">
                  <c:v>645.77</c:v>
                </c:pt>
                <c:pt idx="9">
                  <c:v>679.11</c:v>
                </c:pt>
                <c:pt idx="10">
                  <c:v>719.13</c:v>
                </c:pt>
                <c:pt idx="11">
                  <c:v>940.05</c:v>
                </c:pt>
                <c:pt idx="12">
                  <c:v>1002.14</c:v>
                </c:pt>
                <c:pt idx="13">
                  <c:v>1060.45</c:v>
                </c:pt>
                <c:pt idx="14">
                  <c:v>1124.93</c:v>
                </c:pt>
                <c:pt idx="15">
                  <c:v>1201.3800000000001</c:v>
                </c:pt>
              </c:numCache>
            </c:numRef>
          </c:xVal>
          <c:yVal>
            <c:numRef>
              <c:f>'LC2'!$P$67:$P$127</c:f>
              <c:numCache>
                <c:formatCode>General</c:formatCode>
                <c:ptCount val="61"/>
                <c:pt idx="0">
                  <c:v>1481.059</c:v>
                </c:pt>
                <c:pt idx="1">
                  <c:v>1481.059</c:v>
                </c:pt>
                <c:pt idx="2">
                  <c:v>1481.059</c:v>
                </c:pt>
                <c:pt idx="3">
                  <c:v>1481.059</c:v>
                </c:pt>
                <c:pt idx="4">
                  <c:v>1481.059</c:v>
                </c:pt>
                <c:pt idx="5">
                  <c:v>1481.059</c:v>
                </c:pt>
                <c:pt idx="6">
                  <c:v>1481.059</c:v>
                </c:pt>
                <c:pt idx="7">
                  <c:v>1481.059</c:v>
                </c:pt>
                <c:pt idx="8">
                  <c:v>1481.059</c:v>
                </c:pt>
                <c:pt idx="9">
                  <c:v>1481.059</c:v>
                </c:pt>
                <c:pt idx="10">
                  <c:v>1481.059</c:v>
                </c:pt>
                <c:pt idx="11">
                  <c:v>1481.059</c:v>
                </c:pt>
                <c:pt idx="12">
                  <c:v>1481.059</c:v>
                </c:pt>
                <c:pt idx="13">
                  <c:v>1481.059</c:v>
                </c:pt>
                <c:pt idx="14">
                  <c:v>1481.059</c:v>
                </c:pt>
                <c:pt idx="15">
                  <c:v>1481.059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94-4FDD-8BD7-8CA729952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729088"/>
        <c:axId val="266727648"/>
      </c:scatterChart>
      <c:valAx>
        <c:axId val="266729088"/>
        <c:scaling>
          <c:orientation val="minMax"/>
          <c:max val="1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>
                    <a:solidFill>
                      <a:sysClr val="windowText" lastClr="000000"/>
                    </a:solidFill>
                  </a:rPr>
                  <a:t>DISTANCIA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66727648"/>
        <c:crosses val="autoZero"/>
        <c:crossBetween val="midCat"/>
      </c:valAx>
      <c:valAx>
        <c:axId val="2667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>
                    <a:solidFill>
                      <a:sysClr val="windowText" lastClr="000000"/>
                    </a:solidFill>
                  </a:rPr>
                  <a:t>ELEVACION (m.s.n.m)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66729088"/>
        <c:crosses val="autoZero"/>
        <c:crossBetween val="midCat"/>
      </c:valAx>
      <c:spPr>
        <a:solidFill>
          <a:srgbClr val="FFFFCC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159715800649466"/>
          <c:y val="0.7543388567239131"/>
          <c:w val="0.13985043499246452"/>
          <c:h val="0.1161846107018164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ysClr val="windowText" lastClr="000000"/>
                </a:solidFill>
              </a:rPr>
              <a:t>PERFIL DE LA LÍNEA DE CONDUCCIÓN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'LC2'!$O$66</c:f>
              <c:strCache>
                <c:ptCount val="1"/>
                <c:pt idx="0">
                  <c:v>p/y (mca)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'LC2'!$L$67:$L$127</c:f>
              <c:numCache>
                <c:formatCode>General</c:formatCode>
                <c:ptCount val="61"/>
                <c:pt idx="0">
                  <c:v>0</c:v>
                </c:pt>
                <c:pt idx="1">
                  <c:v>12.21</c:v>
                </c:pt>
                <c:pt idx="2">
                  <c:v>42.78</c:v>
                </c:pt>
                <c:pt idx="3">
                  <c:v>60.12</c:v>
                </c:pt>
                <c:pt idx="4">
                  <c:v>509.53</c:v>
                </c:pt>
                <c:pt idx="5">
                  <c:v>523.04</c:v>
                </c:pt>
                <c:pt idx="6">
                  <c:v>545.99</c:v>
                </c:pt>
                <c:pt idx="7">
                  <c:v>608.19000000000005</c:v>
                </c:pt>
                <c:pt idx="8">
                  <c:v>645.77</c:v>
                </c:pt>
                <c:pt idx="9">
                  <c:v>679.11</c:v>
                </c:pt>
                <c:pt idx="10">
                  <c:v>719.13</c:v>
                </c:pt>
                <c:pt idx="11">
                  <c:v>940.05</c:v>
                </c:pt>
                <c:pt idx="12">
                  <c:v>1002.14</c:v>
                </c:pt>
                <c:pt idx="13">
                  <c:v>1060.45</c:v>
                </c:pt>
                <c:pt idx="14">
                  <c:v>1124.93</c:v>
                </c:pt>
                <c:pt idx="15">
                  <c:v>1201.3800000000001</c:v>
                </c:pt>
              </c:numCache>
            </c:numRef>
          </c:xVal>
          <c:yVal>
            <c:numRef>
              <c:f>'LC2'!$O$67:$O$127</c:f>
              <c:numCache>
                <c:formatCode>0.00</c:formatCode>
                <c:ptCount val="61"/>
                <c:pt idx="0">
                  <c:v>0</c:v>
                </c:pt>
                <c:pt idx="1">
                  <c:v>1.001526045333776</c:v>
                </c:pt>
                <c:pt idx="2">
                  <c:v>3.1291694856927279</c:v>
                </c:pt>
                <c:pt idx="3">
                  <c:v>3.8693650397590318</c:v>
                </c:pt>
                <c:pt idx="4">
                  <c:v>33.953652138168763</c:v>
                </c:pt>
                <c:pt idx="5">
                  <c:v>36.752863840512873</c:v>
                </c:pt>
                <c:pt idx="6">
                  <c:v>35.597239123562076</c:v>
                </c:pt>
                <c:pt idx="7">
                  <c:v>42.366613464207376</c:v>
                </c:pt>
                <c:pt idx="8">
                  <c:v>41.730868609195795</c:v>
                </c:pt>
                <c:pt idx="9">
                  <c:v>43.110549980147425</c:v>
                </c:pt>
                <c:pt idx="10">
                  <c:v>43.351364814489671</c:v>
                </c:pt>
                <c:pt idx="11">
                  <c:v>46.606892435510417</c:v>
                </c:pt>
                <c:pt idx="12">
                  <c:v>45.565726100043094</c:v>
                </c:pt>
                <c:pt idx="13">
                  <c:v>50.212268055188588</c:v>
                </c:pt>
                <c:pt idx="14">
                  <c:v>58.331292915875792</c:v>
                </c:pt>
                <c:pt idx="15">
                  <c:v>69.19071486538337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78-4378-B10D-58975E1D0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729088"/>
        <c:axId val="266727648"/>
      </c:scatterChart>
      <c:valAx>
        <c:axId val="266729088"/>
        <c:scaling>
          <c:orientation val="minMax"/>
          <c:max val="1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>
                    <a:solidFill>
                      <a:sysClr val="windowText" lastClr="000000"/>
                    </a:solidFill>
                  </a:rPr>
                  <a:t>DISTANCIA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66727648"/>
        <c:crosses val="autoZero"/>
        <c:crossBetween val="midCat"/>
      </c:valAx>
      <c:valAx>
        <c:axId val="2667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>
                    <a:solidFill>
                      <a:sysClr val="windowText" lastClr="000000"/>
                    </a:solidFill>
                  </a:rPr>
                  <a:t>ELEVACION (m.s.n.m)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66729088"/>
        <c:crosses val="autoZero"/>
        <c:crossBetween val="midCat"/>
      </c:valAx>
      <c:spPr>
        <a:solidFill>
          <a:srgbClr val="FFFFCC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159710189639183"/>
          <c:y val="0.10996848423395222"/>
          <c:w val="0.13985043499246452"/>
          <c:h val="0.1161846107018164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ysClr val="windowText" lastClr="000000"/>
                </a:solidFill>
              </a:rPr>
              <a:t>PERFIL DE LA LÍNEA DE CONDUCCIÓN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'LINEA DE ADUCCION'!$M$65</c:f>
              <c:strCache>
                <c:ptCount val="1"/>
                <c:pt idx="0">
                  <c:v>P.V LA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'LINEA DE ADUCCION'!$L$67:$L$68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115</c:v>
                </c:pt>
              </c:numCache>
            </c:numRef>
          </c:xVal>
          <c:yVal>
            <c:numRef>
              <c:f>'LINEA DE ADUCCION'!$M$67:$M$68</c:f>
              <c:numCache>
                <c:formatCode>General</c:formatCode>
                <c:ptCount val="2"/>
                <c:pt idx="0">
                  <c:v>1398.6410000000001</c:v>
                </c:pt>
                <c:pt idx="1">
                  <c:v>1373.165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86-4508-ABDC-BA7014D27597}"/>
            </c:ext>
          </c:extLst>
        </c:ser>
        <c:ser>
          <c:idx val="1"/>
          <c:order val="1"/>
          <c:tx>
            <c:strRef>
              <c:f>'LINEA DE ADUCCION'!$N$65</c:f>
              <c:strCache>
                <c:ptCount val="1"/>
                <c:pt idx="0">
                  <c:v>L.G.H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'LINEA DE ADUCCION'!$L$67:$L$68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115</c:v>
                </c:pt>
              </c:numCache>
            </c:numRef>
          </c:xVal>
          <c:yVal>
            <c:numRef>
              <c:f>'LINEA DE ADUCCION'!$N$67:$N$68</c:f>
              <c:numCache>
                <c:formatCode>0.00</c:formatCode>
                <c:ptCount val="2"/>
                <c:pt idx="0" formatCode="General">
                  <c:v>1398.6410000000001</c:v>
                </c:pt>
                <c:pt idx="1">
                  <c:v>1397.5782855342611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86-4508-ABDC-BA7014D27597}"/>
            </c:ext>
          </c:extLst>
        </c:ser>
        <c:ser>
          <c:idx val="2"/>
          <c:order val="2"/>
          <c:tx>
            <c:strRef>
              <c:f>'LINEA DE ADUCCION'!$P$66</c:f>
              <c:strCache>
                <c:ptCount val="1"/>
                <c:pt idx="0">
                  <c:v>L.P.Estatica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'LINEA DE ADUCCION'!$L$67:$L$68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115</c:v>
                </c:pt>
              </c:numCache>
            </c:numRef>
          </c:xVal>
          <c:yVal>
            <c:numRef>
              <c:f>'LINEA DE ADUCCION'!$P$67:$P$68</c:f>
              <c:numCache>
                <c:formatCode>General</c:formatCode>
                <c:ptCount val="2"/>
                <c:pt idx="0">
                  <c:v>1398.6410000000001</c:v>
                </c:pt>
                <c:pt idx="1">
                  <c:v>1398.6410000000001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86-4508-ABDC-BA7014D27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729088"/>
        <c:axId val="266727648"/>
      </c:scatterChart>
      <c:valAx>
        <c:axId val="266729088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>
                    <a:solidFill>
                      <a:sysClr val="windowText" lastClr="000000"/>
                    </a:solidFill>
                  </a:rPr>
                  <a:t>DISTANCIA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66727648"/>
        <c:crosses val="autoZero"/>
        <c:crossBetween val="midCat"/>
      </c:valAx>
      <c:valAx>
        <c:axId val="2667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>
                    <a:solidFill>
                      <a:sysClr val="windowText" lastClr="000000"/>
                    </a:solidFill>
                  </a:rPr>
                  <a:t>ELEVACION (m.s.n.m)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66729088"/>
        <c:crosses val="autoZero"/>
        <c:crossBetween val="midCat"/>
      </c:valAx>
      <c:spPr>
        <a:solidFill>
          <a:srgbClr val="FFFFCC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159715800649466"/>
          <c:y val="0.7543388567239131"/>
          <c:w val="0.13985043499246452"/>
          <c:h val="0.1161846107018164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7" Type="http://schemas.openxmlformats.org/officeDocument/2006/relationships/chart" Target="../charts/chart2.xml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7" Type="http://schemas.openxmlformats.org/officeDocument/2006/relationships/chart" Target="../charts/chart4.xml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790575</xdr:colOff>
      <xdr:row>2</xdr:row>
      <xdr:rowOff>9525</xdr:rowOff>
    </xdr:from>
    <xdr:to>
      <xdr:col>13</xdr:col>
      <xdr:colOff>400050</xdr:colOff>
      <xdr:row>9</xdr:row>
      <xdr:rowOff>57150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38F7FAB-1C1D-8974-E557-CDC9FCF0D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9900" y="409575"/>
          <a:ext cx="4638675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581025</xdr:colOff>
      <xdr:row>0</xdr:row>
      <xdr:rowOff>0</xdr:rowOff>
    </xdr:from>
    <xdr:ext cx="5019675" cy="25146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10225" y="0"/>
          <a:ext cx="5019675" cy="25146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381000</xdr:colOff>
      <xdr:row>13</xdr:row>
      <xdr:rowOff>161925</xdr:rowOff>
    </xdr:from>
    <xdr:ext cx="5019675" cy="2476500"/>
    <xdr:pic>
      <xdr:nvPicPr>
        <xdr:cNvPr id="3" name="image13.png" title="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248400" y="2762250"/>
          <a:ext cx="5019675" cy="247650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333374</xdr:colOff>
      <xdr:row>0</xdr:row>
      <xdr:rowOff>0</xdr:rowOff>
    </xdr:from>
    <xdr:ext cx="7229475" cy="4543425"/>
    <xdr:pic>
      <xdr:nvPicPr>
        <xdr:cNvPr id="4" name="image12.png" title="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391774" y="0"/>
          <a:ext cx="7229475" cy="45434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800100</xdr:colOff>
      <xdr:row>25</xdr:row>
      <xdr:rowOff>171450</xdr:rowOff>
    </xdr:from>
    <xdr:ext cx="5067300" cy="2333625"/>
    <xdr:pic>
      <xdr:nvPicPr>
        <xdr:cNvPr id="5" name="image11.png" title="Imagen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829300" y="5172075"/>
          <a:ext cx="5067300" cy="23336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180975</xdr:colOff>
      <xdr:row>10</xdr:row>
      <xdr:rowOff>28575</xdr:rowOff>
    </xdr:from>
    <xdr:ext cx="1143000" cy="466725"/>
    <xdr:pic>
      <xdr:nvPicPr>
        <xdr:cNvPr id="2" name="image14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90925" y="2028825"/>
          <a:ext cx="114300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133350</xdr:colOff>
      <xdr:row>16</xdr:row>
      <xdr:rowOff>85725</xdr:rowOff>
    </xdr:from>
    <xdr:ext cx="1409700" cy="466725"/>
    <xdr:pic>
      <xdr:nvPicPr>
        <xdr:cNvPr id="3" name="image3.png" title="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543300" y="3286125"/>
          <a:ext cx="140970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23</xdr:row>
      <xdr:rowOff>104775</xdr:rowOff>
    </xdr:from>
    <xdr:ext cx="1228725" cy="323850"/>
    <xdr:pic>
      <xdr:nvPicPr>
        <xdr:cNvPr id="4" name="image15.png" title="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0</xdr:row>
      <xdr:rowOff>0</xdr:rowOff>
    </xdr:from>
    <xdr:ext cx="6162675" cy="2781300"/>
    <xdr:pic>
      <xdr:nvPicPr>
        <xdr:cNvPr id="5" name="image8.png" title="Imagen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182225" y="0"/>
          <a:ext cx="6162675" cy="27813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552450</xdr:colOff>
      <xdr:row>0</xdr:row>
      <xdr:rowOff>0</xdr:rowOff>
    </xdr:from>
    <xdr:ext cx="3476625" cy="4743450"/>
    <xdr:pic>
      <xdr:nvPicPr>
        <xdr:cNvPr id="7" name="image6.png" title="Imagen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477000" y="0"/>
          <a:ext cx="3476625" cy="474345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607506</xdr:colOff>
      <xdr:row>0</xdr:row>
      <xdr:rowOff>0</xdr:rowOff>
    </xdr:from>
    <xdr:ext cx="4876800" cy="42767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150761D3-C8CF-45B6-AB21-8DFC68995D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98631" y="0"/>
          <a:ext cx="4876800" cy="4276725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458561</xdr:colOff>
      <xdr:row>0</xdr:row>
      <xdr:rowOff>0</xdr:rowOff>
    </xdr:from>
    <xdr:ext cx="5867400" cy="4648200"/>
    <xdr:pic>
      <xdr:nvPicPr>
        <xdr:cNvPr id="3" name="image4.png" title="Imagen">
          <a:extLst>
            <a:ext uri="{FF2B5EF4-FFF2-40B4-BE49-F238E27FC236}">
              <a16:creationId xmlns:a16="http://schemas.microsoft.com/office/drawing/2014/main" id="{19B46B27-35C6-4F79-9217-3E106507108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678886" y="0"/>
          <a:ext cx="5867400" cy="464820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128744</xdr:colOff>
      <xdr:row>23</xdr:row>
      <xdr:rowOff>89598</xdr:rowOff>
    </xdr:from>
    <xdr:ext cx="4876800" cy="3152775"/>
    <xdr:pic>
      <xdr:nvPicPr>
        <xdr:cNvPr id="4" name="image7.png" title="Imagen">
          <a:extLst>
            <a:ext uri="{FF2B5EF4-FFF2-40B4-BE49-F238E27FC236}">
              <a16:creationId xmlns:a16="http://schemas.microsoft.com/office/drawing/2014/main" id="{CF83BF37-93A9-4A2A-B8E6-D7110C8B8DAA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510869" y="4490148"/>
          <a:ext cx="4876800" cy="3152775"/>
        </a:xfrm>
        <a:prstGeom prst="rect">
          <a:avLst/>
        </a:prstGeom>
        <a:noFill/>
      </xdr:spPr>
    </xdr:pic>
    <xdr:clientData fLocksWithSheet="0"/>
  </xdr:oneCellAnchor>
  <xdr:twoCellAnchor>
    <xdr:from>
      <xdr:col>8</xdr:col>
      <xdr:colOff>710851</xdr:colOff>
      <xdr:row>38</xdr:row>
      <xdr:rowOff>83979</xdr:rowOff>
    </xdr:from>
    <xdr:to>
      <xdr:col>18</xdr:col>
      <xdr:colOff>359331</xdr:colOff>
      <xdr:row>64</xdr:row>
      <xdr:rowOff>68696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059EC6A-E03F-44D1-9AD0-4E9BEF0BD0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342900</xdr:colOff>
      <xdr:row>28</xdr:row>
      <xdr:rowOff>178707</xdr:rowOff>
    </xdr:from>
    <xdr:to>
      <xdr:col>12</xdr:col>
      <xdr:colOff>28575</xdr:colOff>
      <xdr:row>34</xdr:row>
      <xdr:rowOff>47858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BA2C2A7-6F99-5FE9-F67B-638461EC8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57625" y="5579382"/>
          <a:ext cx="5553075" cy="1069301"/>
        </a:xfrm>
        <a:prstGeom prst="rect">
          <a:avLst/>
        </a:prstGeom>
      </xdr:spPr>
    </xdr:pic>
    <xdr:clientData/>
  </xdr:twoCellAnchor>
  <xdr:twoCellAnchor editAs="oneCell">
    <xdr:from>
      <xdr:col>22</xdr:col>
      <xdr:colOff>800554</xdr:colOff>
      <xdr:row>93</xdr:row>
      <xdr:rowOff>181429</xdr:rowOff>
    </xdr:from>
    <xdr:to>
      <xdr:col>32</xdr:col>
      <xdr:colOff>63076</xdr:colOff>
      <xdr:row>117</xdr:row>
      <xdr:rowOff>61440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68B7935-53FD-FD91-82E9-67AC11097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580554" y="18879911"/>
          <a:ext cx="7653593" cy="4778583"/>
        </a:xfrm>
        <a:prstGeom prst="rect">
          <a:avLst/>
        </a:prstGeom>
      </xdr:spPr>
    </xdr:pic>
    <xdr:clientData/>
  </xdr:twoCellAnchor>
  <xdr:twoCellAnchor>
    <xdr:from>
      <xdr:col>18</xdr:col>
      <xdr:colOff>552450</xdr:colOff>
      <xdr:row>38</xdr:row>
      <xdr:rowOff>76200</xdr:rowOff>
    </xdr:from>
    <xdr:to>
      <xdr:col>28</xdr:col>
      <xdr:colOff>200930</xdr:colOff>
      <xdr:row>64</xdr:row>
      <xdr:rowOff>60917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62626C4-C64E-4402-BA74-E0AB741E97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0.40418</cdr:x>
      <cdr:y>0.27542</cdr:y>
    </cdr:from>
    <cdr:to>
      <cdr:x>0.66515</cdr:x>
      <cdr:y>0.33862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5E630098-8F3B-3DC0-D5A4-3DBDDA743D56}"/>
            </a:ext>
          </a:extLst>
        </cdr:cNvPr>
        <cdr:cNvSpPr txBox="1"/>
      </cdr:nvSpPr>
      <cdr:spPr>
        <a:xfrm xmlns:a="http://schemas.openxmlformats.org/drawingml/2006/main" rot="865427">
          <a:off x="3249099" y="1440530"/>
          <a:ext cx="2097845" cy="3305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s-PE" sz="1100" b="1" kern="1200">
              <a:solidFill>
                <a:sysClr val="windowText" lastClr="000000"/>
              </a:solidFill>
            </a:rPr>
            <a:t>L.G.H</a:t>
          </a:r>
        </a:p>
      </cdr:txBody>
    </cdr:sp>
  </cdr:relSizeAnchor>
  <cdr:relSizeAnchor xmlns:cdr="http://schemas.openxmlformats.org/drawingml/2006/chartDrawing">
    <cdr:from>
      <cdr:x>0.33373</cdr:x>
      <cdr:y>0.10843</cdr:y>
    </cdr:from>
    <cdr:to>
      <cdr:x>0.5947</cdr:x>
      <cdr:y>0.17162</cdr:y>
    </cdr:to>
    <cdr:sp macro="" textlink="">
      <cdr:nvSpPr>
        <cdr:cNvPr id="3" name="CuadroTexto 1">
          <a:extLst xmlns:a="http://schemas.openxmlformats.org/drawingml/2006/main">
            <a:ext uri="{FF2B5EF4-FFF2-40B4-BE49-F238E27FC236}">
              <a16:creationId xmlns:a16="http://schemas.microsoft.com/office/drawing/2014/main" id="{A6458508-2C1B-4212-72B1-FF1278556A30}"/>
            </a:ext>
          </a:extLst>
        </cdr:cNvPr>
        <cdr:cNvSpPr txBox="1"/>
      </cdr:nvSpPr>
      <cdr:spPr>
        <a:xfrm xmlns:a="http://schemas.openxmlformats.org/drawingml/2006/main">
          <a:off x="2679699" y="555625"/>
          <a:ext cx="209550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PE" sz="1100" b="1" kern="1200">
              <a:solidFill>
                <a:sysClr val="windowText" lastClr="000000"/>
              </a:solidFill>
            </a:rPr>
            <a:t>LÍNEA</a:t>
          </a:r>
          <a:r>
            <a:rPr lang="es-PE" sz="1100" b="1" kern="1200" baseline="0">
              <a:solidFill>
                <a:sysClr val="windowText" lastClr="000000"/>
              </a:solidFill>
            </a:rPr>
            <a:t> DE CARGA ESTÁTICA</a:t>
          </a:r>
          <a:endParaRPr lang="es-PE" sz="1100" b="1" kern="12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0.31949</cdr:x>
      <cdr:y>0.49692</cdr:y>
    </cdr:from>
    <cdr:to>
      <cdr:x>0.58046</cdr:x>
      <cdr:y>0.56012</cdr:y>
    </cdr:to>
    <cdr:sp macro="" textlink="">
      <cdr:nvSpPr>
        <cdr:cNvPr id="4" name="CuadroTexto 1">
          <a:extLst xmlns:a="http://schemas.openxmlformats.org/drawingml/2006/main">
            <a:ext uri="{FF2B5EF4-FFF2-40B4-BE49-F238E27FC236}">
              <a16:creationId xmlns:a16="http://schemas.microsoft.com/office/drawing/2014/main" id="{EA42026A-1CB8-072B-9125-DBA89FE8756E}"/>
            </a:ext>
          </a:extLst>
        </cdr:cNvPr>
        <cdr:cNvSpPr txBox="1"/>
      </cdr:nvSpPr>
      <cdr:spPr>
        <a:xfrm xmlns:a="http://schemas.openxmlformats.org/drawingml/2006/main">
          <a:off x="2568283" y="2599024"/>
          <a:ext cx="2097845" cy="3305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s-PE" sz="1100" b="1" kern="1200">
              <a:solidFill>
                <a:sysClr val="windowText" lastClr="000000"/>
              </a:solidFill>
            </a:rPr>
            <a:t>PERFIL DE LA LÍNEA</a:t>
          </a:r>
        </a:p>
        <a:p xmlns:a="http://schemas.openxmlformats.org/drawingml/2006/main">
          <a:pPr algn="l"/>
          <a:r>
            <a:rPr lang="es-PE" sz="1100" b="1" kern="1200">
              <a:solidFill>
                <a:sysClr val="windowText" lastClr="000000"/>
              </a:solidFill>
            </a:rPr>
            <a:t>DE CONDUCCIÓN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798006</xdr:colOff>
      <xdr:row>0</xdr:row>
      <xdr:rowOff>0</xdr:rowOff>
    </xdr:from>
    <xdr:ext cx="4876800" cy="42767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7523438F-D440-4607-8743-D009980AD07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50931" y="0"/>
          <a:ext cx="4876800" cy="427672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525236</xdr:colOff>
      <xdr:row>0</xdr:row>
      <xdr:rowOff>0</xdr:rowOff>
    </xdr:from>
    <xdr:ext cx="5867400" cy="4648200"/>
    <xdr:pic>
      <xdr:nvPicPr>
        <xdr:cNvPr id="3" name="image4.png" title="Imagen">
          <a:extLst>
            <a:ext uri="{FF2B5EF4-FFF2-40B4-BE49-F238E27FC236}">
              <a16:creationId xmlns:a16="http://schemas.microsoft.com/office/drawing/2014/main" id="{6C2CD070-5CFE-4582-8154-3F9C2D4DF45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907361" y="0"/>
          <a:ext cx="5867400" cy="464820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128744</xdr:colOff>
      <xdr:row>22</xdr:row>
      <xdr:rowOff>89598</xdr:rowOff>
    </xdr:from>
    <xdr:ext cx="4876800" cy="3152775"/>
    <xdr:pic>
      <xdr:nvPicPr>
        <xdr:cNvPr id="4" name="image7.png" title="Imagen">
          <a:extLst>
            <a:ext uri="{FF2B5EF4-FFF2-40B4-BE49-F238E27FC236}">
              <a16:creationId xmlns:a16="http://schemas.microsoft.com/office/drawing/2014/main" id="{7A24B282-9E37-488A-B19B-0C4FDB0412EA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510869" y="4490148"/>
          <a:ext cx="4876800" cy="3152775"/>
        </a:xfrm>
        <a:prstGeom prst="rect">
          <a:avLst/>
        </a:prstGeom>
        <a:noFill/>
      </xdr:spPr>
    </xdr:pic>
    <xdr:clientData fLocksWithSheet="0"/>
  </xdr:oneCellAnchor>
  <xdr:twoCellAnchor>
    <xdr:from>
      <xdr:col>6</xdr:col>
      <xdr:colOff>684904</xdr:colOff>
      <xdr:row>35</xdr:row>
      <xdr:rowOff>191053</xdr:rowOff>
    </xdr:from>
    <xdr:to>
      <xdr:col>16</xdr:col>
      <xdr:colOff>328566</xdr:colOff>
      <xdr:row>61</xdr:row>
      <xdr:rowOff>172595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C688BB9-2ACA-4172-A7C3-8117B08AE7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342900</xdr:colOff>
      <xdr:row>27</xdr:row>
      <xdr:rowOff>178707</xdr:rowOff>
    </xdr:from>
    <xdr:to>
      <xdr:col>12</xdr:col>
      <xdr:colOff>28575</xdr:colOff>
      <xdr:row>33</xdr:row>
      <xdr:rowOff>47858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80A5AB3-02E6-4B93-A64C-7AFA3268B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57625" y="5579382"/>
          <a:ext cx="5553075" cy="1069301"/>
        </a:xfrm>
        <a:prstGeom prst="rect">
          <a:avLst/>
        </a:prstGeom>
      </xdr:spPr>
    </xdr:pic>
    <xdr:clientData/>
  </xdr:twoCellAnchor>
  <xdr:twoCellAnchor editAs="oneCell">
    <xdr:from>
      <xdr:col>22</xdr:col>
      <xdr:colOff>800554</xdr:colOff>
      <xdr:row>92</xdr:row>
      <xdr:rowOff>181429</xdr:rowOff>
    </xdr:from>
    <xdr:to>
      <xdr:col>32</xdr:col>
      <xdr:colOff>63076</xdr:colOff>
      <xdr:row>116</xdr:row>
      <xdr:rowOff>61440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F9491B2-3F64-41E1-92AC-9D40C6E5C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564679" y="18517054"/>
          <a:ext cx="7644522" cy="4680611"/>
        </a:xfrm>
        <a:prstGeom prst="rect">
          <a:avLst/>
        </a:prstGeom>
      </xdr:spPr>
    </xdr:pic>
    <xdr:clientData/>
  </xdr:twoCellAnchor>
  <xdr:twoCellAnchor>
    <xdr:from>
      <xdr:col>16</xdr:col>
      <xdr:colOff>552450</xdr:colOff>
      <xdr:row>36</xdr:row>
      <xdr:rowOff>9525</xdr:rowOff>
    </xdr:from>
    <xdr:to>
      <xdr:col>26</xdr:col>
      <xdr:colOff>196112</xdr:colOff>
      <xdr:row>62</xdr:row>
      <xdr:rowOff>592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1366A77-FC1F-4333-8EA8-65303927ED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0.47712</cdr:x>
      <cdr:y>0.19921</cdr:y>
    </cdr:from>
    <cdr:to>
      <cdr:x>0.73809</cdr:x>
      <cdr:y>0.26241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5E630098-8F3B-3DC0-D5A4-3DBDDA743D56}"/>
            </a:ext>
          </a:extLst>
        </cdr:cNvPr>
        <cdr:cNvSpPr txBox="1"/>
      </cdr:nvSpPr>
      <cdr:spPr>
        <a:xfrm xmlns:a="http://schemas.openxmlformats.org/drawingml/2006/main" rot="474406">
          <a:off x="3820689" y="1009935"/>
          <a:ext cx="2089804" cy="3204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s-PE" sz="1100" b="1" kern="1200">
              <a:solidFill>
                <a:sysClr val="windowText" lastClr="000000"/>
              </a:solidFill>
            </a:rPr>
            <a:t>L.G.H</a:t>
          </a:r>
        </a:p>
      </cdr:txBody>
    </cdr:sp>
  </cdr:relSizeAnchor>
  <cdr:relSizeAnchor xmlns:cdr="http://schemas.openxmlformats.org/drawingml/2006/chartDrawing">
    <cdr:from>
      <cdr:x>0.33373</cdr:x>
      <cdr:y>0.10843</cdr:y>
    </cdr:from>
    <cdr:to>
      <cdr:x>0.5947</cdr:x>
      <cdr:y>0.17162</cdr:y>
    </cdr:to>
    <cdr:sp macro="" textlink="">
      <cdr:nvSpPr>
        <cdr:cNvPr id="3" name="CuadroTexto 1">
          <a:extLst xmlns:a="http://schemas.openxmlformats.org/drawingml/2006/main">
            <a:ext uri="{FF2B5EF4-FFF2-40B4-BE49-F238E27FC236}">
              <a16:creationId xmlns:a16="http://schemas.microsoft.com/office/drawing/2014/main" id="{A6458508-2C1B-4212-72B1-FF1278556A30}"/>
            </a:ext>
          </a:extLst>
        </cdr:cNvPr>
        <cdr:cNvSpPr txBox="1"/>
      </cdr:nvSpPr>
      <cdr:spPr>
        <a:xfrm xmlns:a="http://schemas.openxmlformats.org/drawingml/2006/main">
          <a:off x="2679699" y="555625"/>
          <a:ext cx="209550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PE" sz="1100" b="1" kern="1200">
              <a:solidFill>
                <a:sysClr val="windowText" lastClr="000000"/>
              </a:solidFill>
            </a:rPr>
            <a:t>LÍNEA</a:t>
          </a:r>
          <a:r>
            <a:rPr lang="es-PE" sz="1100" b="1" kern="1200" baseline="0">
              <a:solidFill>
                <a:sysClr val="windowText" lastClr="000000"/>
              </a:solidFill>
            </a:rPr>
            <a:t> DE CARGA ESTÁTICA</a:t>
          </a:r>
          <a:endParaRPr lang="es-PE" sz="1100" b="1" kern="12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0.29593</cdr:x>
      <cdr:y>0.5111</cdr:y>
    </cdr:from>
    <cdr:to>
      <cdr:x>0.5569</cdr:x>
      <cdr:y>0.5743</cdr:y>
    </cdr:to>
    <cdr:sp macro="" textlink="">
      <cdr:nvSpPr>
        <cdr:cNvPr id="4" name="CuadroTexto 1">
          <a:extLst xmlns:a="http://schemas.openxmlformats.org/drawingml/2006/main">
            <a:ext uri="{FF2B5EF4-FFF2-40B4-BE49-F238E27FC236}">
              <a16:creationId xmlns:a16="http://schemas.microsoft.com/office/drawing/2014/main" id="{EA42026A-1CB8-072B-9125-DBA89FE8756E}"/>
            </a:ext>
          </a:extLst>
        </cdr:cNvPr>
        <cdr:cNvSpPr txBox="1"/>
      </cdr:nvSpPr>
      <cdr:spPr>
        <a:xfrm xmlns:a="http://schemas.openxmlformats.org/drawingml/2006/main">
          <a:off x="2369720" y="2591175"/>
          <a:ext cx="2089805" cy="3204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s-PE" sz="1100" b="1" kern="1200">
              <a:solidFill>
                <a:sysClr val="windowText" lastClr="000000"/>
              </a:solidFill>
            </a:rPr>
            <a:t>PERFIL DE LA LÍNEA</a:t>
          </a:r>
        </a:p>
        <a:p xmlns:a="http://schemas.openxmlformats.org/drawingml/2006/main">
          <a:pPr algn="l"/>
          <a:r>
            <a:rPr lang="es-PE" sz="1100" b="1" kern="1200">
              <a:solidFill>
                <a:sysClr val="windowText" lastClr="000000"/>
              </a:solidFill>
            </a:rPr>
            <a:t>DE CONDUCCIÓN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807531</xdr:colOff>
      <xdr:row>0</xdr:row>
      <xdr:rowOff>0</xdr:rowOff>
    </xdr:from>
    <xdr:ext cx="4876800" cy="42767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680A3048-3274-4C13-AA63-3DA10987F7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22256" y="0"/>
          <a:ext cx="4876800" cy="42767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572861</xdr:colOff>
      <xdr:row>0</xdr:row>
      <xdr:rowOff>0</xdr:rowOff>
    </xdr:from>
    <xdr:ext cx="5618389" cy="4400550"/>
    <xdr:pic>
      <xdr:nvPicPr>
        <xdr:cNvPr id="3" name="image4.png" title="Imagen">
          <a:extLst>
            <a:ext uri="{FF2B5EF4-FFF2-40B4-BE49-F238E27FC236}">
              <a16:creationId xmlns:a16="http://schemas.microsoft.com/office/drawing/2014/main" id="{8D14D44C-8CF6-48C2-8BF6-DCFFD822048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116786" y="0"/>
          <a:ext cx="5618389" cy="44005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43019</xdr:colOff>
      <xdr:row>22</xdr:row>
      <xdr:rowOff>51498</xdr:rowOff>
    </xdr:from>
    <xdr:ext cx="4876800" cy="3152775"/>
    <xdr:pic>
      <xdr:nvPicPr>
        <xdr:cNvPr id="4" name="image7.png" title="Imagen">
          <a:extLst>
            <a:ext uri="{FF2B5EF4-FFF2-40B4-BE49-F238E27FC236}">
              <a16:creationId xmlns:a16="http://schemas.microsoft.com/office/drawing/2014/main" id="{28FB26FE-38A5-488A-9472-0D5C603FA783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425144" y="4452048"/>
          <a:ext cx="4876800" cy="3152775"/>
        </a:xfrm>
        <a:prstGeom prst="rect">
          <a:avLst/>
        </a:prstGeom>
        <a:noFill/>
      </xdr:spPr>
    </xdr:pic>
    <xdr:clientData fLocksWithSheet="0"/>
  </xdr:oneCellAnchor>
  <xdr:twoCellAnchor>
    <xdr:from>
      <xdr:col>11</xdr:col>
      <xdr:colOff>265804</xdr:colOff>
      <xdr:row>38</xdr:row>
      <xdr:rowOff>67228</xdr:rowOff>
    </xdr:from>
    <xdr:to>
      <xdr:col>20</xdr:col>
      <xdr:colOff>747666</xdr:colOff>
      <xdr:row>64</xdr:row>
      <xdr:rowOff>77345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C33B223-DA77-4E5F-9D9A-75C96F0B2C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342900</xdr:colOff>
      <xdr:row>27</xdr:row>
      <xdr:rowOff>178707</xdr:rowOff>
    </xdr:from>
    <xdr:to>
      <xdr:col>12</xdr:col>
      <xdr:colOff>28575</xdr:colOff>
      <xdr:row>33</xdr:row>
      <xdr:rowOff>47858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FFC61CF-E158-44F2-86D2-AF14598F2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57625" y="5579382"/>
          <a:ext cx="5553075" cy="1069301"/>
        </a:xfrm>
        <a:prstGeom prst="rect">
          <a:avLst/>
        </a:prstGeom>
      </xdr:spPr>
    </xdr:pic>
    <xdr:clientData/>
  </xdr:twoCellAnchor>
  <xdr:twoCellAnchor editAs="oneCell">
    <xdr:from>
      <xdr:col>22</xdr:col>
      <xdr:colOff>800554</xdr:colOff>
      <xdr:row>92</xdr:row>
      <xdr:rowOff>181429</xdr:rowOff>
    </xdr:from>
    <xdr:to>
      <xdr:col>32</xdr:col>
      <xdr:colOff>63076</xdr:colOff>
      <xdr:row>116</xdr:row>
      <xdr:rowOff>61440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5C554A2-5EB2-4516-882F-00CCFC0F5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564679" y="18517054"/>
          <a:ext cx="7644522" cy="468061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98</xdr:row>
      <xdr:rowOff>0</xdr:rowOff>
    </xdr:from>
    <xdr:to>
      <xdr:col>7</xdr:col>
      <xdr:colOff>304800</xdr:colOff>
      <xdr:row>99</xdr:row>
      <xdr:rowOff>104775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13B1B32A-DD1D-4CE7-D6BC-7D6EA9B5CEEB}"/>
            </a:ext>
          </a:extLst>
        </xdr:cNvPr>
        <xdr:cNvSpPr>
          <a:spLocks noChangeAspect="1" noChangeArrowheads="1"/>
        </xdr:cNvSpPr>
      </xdr:nvSpPr>
      <xdr:spPr bwMode="auto">
        <a:xfrm>
          <a:off x="5191125" y="1953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98</xdr:row>
      <xdr:rowOff>0</xdr:rowOff>
    </xdr:from>
    <xdr:to>
      <xdr:col>7</xdr:col>
      <xdr:colOff>304800</xdr:colOff>
      <xdr:row>99</xdr:row>
      <xdr:rowOff>104775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2ABB3FD6-ABA4-22BF-82E7-8446409E2D91}"/>
            </a:ext>
          </a:extLst>
        </xdr:cNvPr>
        <xdr:cNvSpPr>
          <a:spLocks noChangeAspect="1" noChangeArrowheads="1"/>
        </xdr:cNvSpPr>
      </xdr:nvSpPr>
      <xdr:spPr bwMode="auto">
        <a:xfrm>
          <a:off x="5191125" y="1953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98</xdr:row>
      <xdr:rowOff>0</xdr:rowOff>
    </xdr:from>
    <xdr:to>
      <xdr:col>7</xdr:col>
      <xdr:colOff>304800</xdr:colOff>
      <xdr:row>99</xdr:row>
      <xdr:rowOff>104775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B77B5DE6-EC09-21CD-387E-36C3AEFF348B}"/>
            </a:ext>
          </a:extLst>
        </xdr:cNvPr>
        <xdr:cNvSpPr>
          <a:spLocks noChangeAspect="1" noChangeArrowheads="1"/>
        </xdr:cNvSpPr>
      </xdr:nvSpPr>
      <xdr:spPr bwMode="auto">
        <a:xfrm>
          <a:off x="5191125" y="1953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96</xdr:row>
      <xdr:rowOff>0</xdr:rowOff>
    </xdr:from>
    <xdr:to>
      <xdr:col>7</xdr:col>
      <xdr:colOff>304800</xdr:colOff>
      <xdr:row>97</xdr:row>
      <xdr:rowOff>104775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B00B05AC-1B44-44BB-31A1-CF54513B2E06}"/>
            </a:ext>
          </a:extLst>
        </xdr:cNvPr>
        <xdr:cNvSpPr>
          <a:spLocks noChangeAspect="1" noChangeArrowheads="1"/>
        </xdr:cNvSpPr>
      </xdr:nvSpPr>
      <xdr:spPr bwMode="auto">
        <a:xfrm>
          <a:off x="5191125" y="1913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95</xdr:row>
      <xdr:rowOff>0</xdr:rowOff>
    </xdr:from>
    <xdr:to>
      <xdr:col>16</xdr:col>
      <xdr:colOff>304800</xdr:colOff>
      <xdr:row>96</xdr:row>
      <xdr:rowOff>104775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0AA9C826-01EB-65E5-9BDF-A715246FE960}"/>
            </a:ext>
          </a:extLst>
        </xdr:cNvPr>
        <xdr:cNvSpPr>
          <a:spLocks noChangeAspect="1" noChangeArrowheads="1"/>
        </xdr:cNvSpPr>
      </xdr:nvSpPr>
      <xdr:spPr bwMode="auto">
        <a:xfrm>
          <a:off x="12734925" y="189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95</xdr:row>
      <xdr:rowOff>0</xdr:rowOff>
    </xdr:from>
    <xdr:ext cx="304800" cy="304800"/>
    <xdr:sp macro="" textlink="">
      <xdr:nvSpPr>
        <xdr:cNvPr id="8" name="AutoShape 5">
          <a:extLst>
            <a:ext uri="{FF2B5EF4-FFF2-40B4-BE49-F238E27FC236}">
              <a16:creationId xmlns:a16="http://schemas.microsoft.com/office/drawing/2014/main" id="{0BB9B5DD-DC59-4065-A981-7535D753C77B}"/>
            </a:ext>
          </a:extLst>
        </xdr:cNvPr>
        <xdr:cNvSpPr>
          <a:spLocks noChangeAspect="1" noChangeArrowheads="1"/>
        </xdr:cNvSpPr>
      </xdr:nvSpPr>
      <xdr:spPr bwMode="auto">
        <a:xfrm>
          <a:off x="12734925" y="189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95</xdr:row>
      <xdr:rowOff>0</xdr:rowOff>
    </xdr:from>
    <xdr:ext cx="304800" cy="304800"/>
    <xdr:sp macro="" textlink="">
      <xdr:nvSpPr>
        <xdr:cNvPr id="9" name="AutoShape 5">
          <a:extLst>
            <a:ext uri="{FF2B5EF4-FFF2-40B4-BE49-F238E27FC236}">
              <a16:creationId xmlns:a16="http://schemas.microsoft.com/office/drawing/2014/main" id="{704CC81B-C4B7-4E3B-B54B-1864A83E93A8}"/>
            </a:ext>
          </a:extLst>
        </xdr:cNvPr>
        <xdr:cNvSpPr>
          <a:spLocks noChangeAspect="1" noChangeArrowheads="1"/>
        </xdr:cNvSpPr>
      </xdr:nvSpPr>
      <xdr:spPr bwMode="auto">
        <a:xfrm>
          <a:off x="12734925" y="189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95</xdr:row>
      <xdr:rowOff>0</xdr:rowOff>
    </xdr:from>
    <xdr:ext cx="304800" cy="304800"/>
    <xdr:sp macro="" textlink="">
      <xdr:nvSpPr>
        <xdr:cNvPr id="10" name="AutoShape 5">
          <a:extLst>
            <a:ext uri="{FF2B5EF4-FFF2-40B4-BE49-F238E27FC236}">
              <a16:creationId xmlns:a16="http://schemas.microsoft.com/office/drawing/2014/main" id="{637171BF-CE29-4F97-B3C0-D2C6F8F26453}"/>
            </a:ext>
          </a:extLst>
        </xdr:cNvPr>
        <xdr:cNvSpPr>
          <a:spLocks noChangeAspect="1" noChangeArrowheads="1"/>
        </xdr:cNvSpPr>
      </xdr:nvSpPr>
      <xdr:spPr bwMode="auto">
        <a:xfrm>
          <a:off x="12734925" y="189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</xdr:row>
      <xdr:rowOff>0</xdr:rowOff>
    </xdr:from>
    <xdr:ext cx="304800" cy="304800"/>
    <xdr:sp macro="" textlink="">
      <xdr:nvSpPr>
        <xdr:cNvPr id="11" name="AutoShape 5">
          <a:extLst>
            <a:ext uri="{FF2B5EF4-FFF2-40B4-BE49-F238E27FC236}">
              <a16:creationId xmlns:a16="http://schemas.microsoft.com/office/drawing/2014/main" id="{1C7C92B3-1A7D-49B9-8F02-FBAAF229EBC8}"/>
            </a:ext>
          </a:extLst>
        </xdr:cNvPr>
        <xdr:cNvSpPr>
          <a:spLocks noChangeAspect="1" noChangeArrowheads="1"/>
        </xdr:cNvSpPr>
      </xdr:nvSpPr>
      <xdr:spPr bwMode="auto">
        <a:xfrm>
          <a:off x="12734925" y="189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95</xdr:row>
      <xdr:rowOff>0</xdr:rowOff>
    </xdr:from>
    <xdr:ext cx="304800" cy="304800"/>
    <xdr:sp macro="" textlink="">
      <xdr:nvSpPr>
        <xdr:cNvPr id="12" name="AutoShape 5">
          <a:extLst>
            <a:ext uri="{FF2B5EF4-FFF2-40B4-BE49-F238E27FC236}">
              <a16:creationId xmlns:a16="http://schemas.microsoft.com/office/drawing/2014/main" id="{46A826AB-6109-433D-9533-E99C8DF00D39}"/>
            </a:ext>
          </a:extLst>
        </xdr:cNvPr>
        <xdr:cNvSpPr>
          <a:spLocks noChangeAspect="1" noChangeArrowheads="1"/>
        </xdr:cNvSpPr>
      </xdr:nvSpPr>
      <xdr:spPr bwMode="auto">
        <a:xfrm>
          <a:off x="12734925" y="189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95</xdr:row>
      <xdr:rowOff>0</xdr:rowOff>
    </xdr:from>
    <xdr:ext cx="304800" cy="304800"/>
    <xdr:sp macro="" textlink="">
      <xdr:nvSpPr>
        <xdr:cNvPr id="13" name="AutoShape 5">
          <a:extLst>
            <a:ext uri="{FF2B5EF4-FFF2-40B4-BE49-F238E27FC236}">
              <a16:creationId xmlns:a16="http://schemas.microsoft.com/office/drawing/2014/main" id="{2608635F-F801-4B26-B143-EA4E90500421}"/>
            </a:ext>
          </a:extLst>
        </xdr:cNvPr>
        <xdr:cNvSpPr>
          <a:spLocks noChangeAspect="1" noChangeArrowheads="1"/>
        </xdr:cNvSpPr>
      </xdr:nvSpPr>
      <xdr:spPr bwMode="auto">
        <a:xfrm>
          <a:off x="12734925" y="189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95</xdr:row>
      <xdr:rowOff>0</xdr:rowOff>
    </xdr:from>
    <xdr:ext cx="304800" cy="304800"/>
    <xdr:sp macro="" textlink="">
      <xdr:nvSpPr>
        <xdr:cNvPr id="14" name="AutoShape 5">
          <a:extLst>
            <a:ext uri="{FF2B5EF4-FFF2-40B4-BE49-F238E27FC236}">
              <a16:creationId xmlns:a16="http://schemas.microsoft.com/office/drawing/2014/main" id="{884473B9-3841-407C-AA1E-35A4888756B7}"/>
            </a:ext>
          </a:extLst>
        </xdr:cNvPr>
        <xdr:cNvSpPr>
          <a:spLocks noChangeAspect="1" noChangeArrowheads="1"/>
        </xdr:cNvSpPr>
      </xdr:nvSpPr>
      <xdr:spPr bwMode="auto">
        <a:xfrm>
          <a:off x="12734925" y="189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95</xdr:row>
      <xdr:rowOff>0</xdr:rowOff>
    </xdr:from>
    <xdr:ext cx="304800" cy="304800"/>
    <xdr:sp macro="" textlink="">
      <xdr:nvSpPr>
        <xdr:cNvPr id="15" name="AutoShape 5">
          <a:extLst>
            <a:ext uri="{FF2B5EF4-FFF2-40B4-BE49-F238E27FC236}">
              <a16:creationId xmlns:a16="http://schemas.microsoft.com/office/drawing/2014/main" id="{F96708F7-A238-425D-B48A-9A6E44A4195C}"/>
            </a:ext>
          </a:extLst>
        </xdr:cNvPr>
        <xdr:cNvSpPr>
          <a:spLocks noChangeAspect="1" noChangeArrowheads="1"/>
        </xdr:cNvSpPr>
      </xdr:nvSpPr>
      <xdr:spPr bwMode="auto">
        <a:xfrm>
          <a:off x="12734925" y="189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95</xdr:row>
      <xdr:rowOff>0</xdr:rowOff>
    </xdr:from>
    <xdr:ext cx="304800" cy="304800"/>
    <xdr:sp macro="" textlink="">
      <xdr:nvSpPr>
        <xdr:cNvPr id="16" name="AutoShape 5">
          <a:extLst>
            <a:ext uri="{FF2B5EF4-FFF2-40B4-BE49-F238E27FC236}">
              <a16:creationId xmlns:a16="http://schemas.microsoft.com/office/drawing/2014/main" id="{508E83E5-45F2-4914-B218-1F7672EF04A3}"/>
            </a:ext>
          </a:extLst>
        </xdr:cNvPr>
        <xdr:cNvSpPr>
          <a:spLocks noChangeAspect="1" noChangeArrowheads="1"/>
        </xdr:cNvSpPr>
      </xdr:nvSpPr>
      <xdr:spPr bwMode="auto">
        <a:xfrm>
          <a:off x="12734925" y="189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95</xdr:row>
      <xdr:rowOff>0</xdr:rowOff>
    </xdr:from>
    <xdr:ext cx="304800" cy="304800"/>
    <xdr:sp macro="" textlink="">
      <xdr:nvSpPr>
        <xdr:cNvPr id="17" name="AutoShape 5">
          <a:extLst>
            <a:ext uri="{FF2B5EF4-FFF2-40B4-BE49-F238E27FC236}">
              <a16:creationId xmlns:a16="http://schemas.microsoft.com/office/drawing/2014/main" id="{FF1FBAA3-7625-4252-868B-FB35C57B724B}"/>
            </a:ext>
          </a:extLst>
        </xdr:cNvPr>
        <xdr:cNvSpPr>
          <a:spLocks noChangeAspect="1" noChangeArrowheads="1"/>
        </xdr:cNvSpPr>
      </xdr:nvSpPr>
      <xdr:spPr bwMode="auto">
        <a:xfrm>
          <a:off x="12734925" y="189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95</xdr:row>
      <xdr:rowOff>0</xdr:rowOff>
    </xdr:from>
    <xdr:ext cx="304800" cy="304800"/>
    <xdr:sp macro="" textlink="">
      <xdr:nvSpPr>
        <xdr:cNvPr id="18" name="AutoShape 5">
          <a:extLst>
            <a:ext uri="{FF2B5EF4-FFF2-40B4-BE49-F238E27FC236}">
              <a16:creationId xmlns:a16="http://schemas.microsoft.com/office/drawing/2014/main" id="{C0A67CE2-E5CA-4736-B5C5-1ABD9525353A}"/>
            </a:ext>
          </a:extLst>
        </xdr:cNvPr>
        <xdr:cNvSpPr>
          <a:spLocks noChangeAspect="1" noChangeArrowheads="1"/>
        </xdr:cNvSpPr>
      </xdr:nvSpPr>
      <xdr:spPr bwMode="auto">
        <a:xfrm>
          <a:off x="12734925" y="189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95</xdr:row>
      <xdr:rowOff>0</xdr:rowOff>
    </xdr:from>
    <xdr:ext cx="304800" cy="304800"/>
    <xdr:sp macro="" textlink="">
      <xdr:nvSpPr>
        <xdr:cNvPr id="19" name="AutoShape 5">
          <a:extLst>
            <a:ext uri="{FF2B5EF4-FFF2-40B4-BE49-F238E27FC236}">
              <a16:creationId xmlns:a16="http://schemas.microsoft.com/office/drawing/2014/main" id="{5C724C70-5E4C-4669-ADBA-67A518DFA456}"/>
            </a:ext>
          </a:extLst>
        </xdr:cNvPr>
        <xdr:cNvSpPr>
          <a:spLocks noChangeAspect="1" noChangeArrowheads="1"/>
        </xdr:cNvSpPr>
      </xdr:nvSpPr>
      <xdr:spPr bwMode="auto">
        <a:xfrm>
          <a:off x="12734925" y="189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95</xdr:row>
      <xdr:rowOff>0</xdr:rowOff>
    </xdr:from>
    <xdr:ext cx="304800" cy="304800"/>
    <xdr:sp macro="" textlink="">
      <xdr:nvSpPr>
        <xdr:cNvPr id="20" name="AutoShape 5">
          <a:extLst>
            <a:ext uri="{FF2B5EF4-FFF2-40B4-BE49-F238E27FC236}">
              <a16:creationId xmlns:a16="http://schemas.microsoft.com/office/drawing/2014/main" id="{9D42CC96-16D9-4C8B-B7EE-23735AAE8ECB}"/>
            </a:ext>
          </a:extLst>
        </xdr:cNvPr>
        <xdr:cNvSpPr>
          <a:spLocks noChangeAspect="1" noChangeArrowheads="1"/>
        </xdr:cNvSpPr>
      </xdr:nvSpPr>
      <xdr:spPr bwMode="auto">
        <a:xfrm>
          <a:off x="12734925" y="189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95</xdr:row>
      <xdr:rowOff>0</xdr:rowOff>
    </xdr:from>
    <xdr:ext cx="304800" cy="304800"/>
    <xdr:sp macro="" textlink="">
      <xdr:nvSpPr>
        <xdr:cNvPr id="21" name="AutoShape 5">
          <a:extLst>
            <a:ext uri="{FF2B5EF4-FFF2-40B4-BE49-F238E27FC236}">
              <a16:creationId xmlns:a16="http://schemas.microsoft.com/office/drawing/2014/main" id="{85752E81-8506-4B6F-9102-A40B3FF6814C}"/>
            </a:ext>
          </a:extLst>
        </xdr:cNvPr>
        <xdr:cNvSpPr>
          <a:spLocks noChangeAspect="1" noChangeArrowheads="1"/>
        </xdr:cNvSpPr>
      </xdr:nvSpPr>
      <xdr:spPr bwMode="auto">
        <a:xfrm>
          <a:off x="12734925" y="189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0.59105</cdr:x>
      <cdr:y>0.14551</cdr:y>
    </cdr:from>
    <cdr:to>
      <cdr:x>0.85202</cdr:x>
      <cdr:y>0.20871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5E630098-8F3B-3DC0-D5A4-3DBDDA743D56}"/>
            </a:ext>
          </a:extLst>
        </cdr:cNvPr>
        <cdr:cNvSpPr txBox="1"/>
      </cdr:nvSpPr>
      <cdr:spPr>
        <a:xfrm xmlns:a="http://schemas.openxmlformats.org/drawingml/2006/main">
          <a:off x="4743604" y="748530"/>
          <a:ext cx="2094457" cy="3251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s-PE" sz="1100" b="1" kern="1200">
              <a:solidFill>
                <a:sysClr val="windowText" lastClr="000000"/>
              </a:solidFill>
            </a:rPr>
            <a:t>L.G.H</a:t>
          </a:r>
        </a:p>
      </cdr:txBody>
    </cdr:sp>
  </cdr:relSizeAnchor>
  <cdr:relSizeAnchor xmlns:cdr="http://schemas.openxmlformats.org/drawingml/2006/chartDrawing">
    <cdr:from>
      <cdr:x>0.3361</cdr:x>
      <cdr:y>0.08251</cdr:y>
    </cdr:from>
    <cdr:to>
      <cdr:x>0.59707</cdr:x>
      <cdr:y>0.1457</cdr:y>
    </cdr:to>
    <cdr:sp macro="" textlink="">
      <cdr:nvSpPr>
        <cdr:cNvPr id="3" name="CuadroTexto 1">
          <a:extLst xmlns:a="http://schemas.openxmlformats.org/drawingml/2006/main">
            <a:ext uri="{FF2B5EF4-FFF2-40B4-BE49-F238E27FC236}">
              <a16:creationId xmlns:a16="http://schemas.microsoft.com/office/drawing/2014/main" id="{A6458508-2C1B-4212-72B1-FF1278556A30}"/>
            </a:ext>
          </a:extLst>
        </cdr:cNvPr>
        <cdr:cNvSpPr txBox="1"/>
      </cdr:nvSpPr>
      <cdr:spPr>
        <a:xfrm xmlns:a="http://schemas.openxmlformats.org/drawingml/2006/main">
          <a:off x="2697454" y="424424"/>
          <a:ext cx="2094457" cy="325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PE" sz="1100" b="1" kern="1200">
              <a:solidFill>
                <a:sysClr val="windowText" lastClr="000000"/>
              </a:solidFill>
            </a:rPr>
            <a:t>LÍNEA</a:t>
          </a:r>
          <a:r>
            <a:rPr lang="es-PE" sz="1100" b="1" kern="1200" baseline="0">
              <a:solidFill>
                <a:sysClr val="windowText" lastClr="000000"/>
              </a:solidFill>
            </a:rPr>
            <a:t> DE CARGA ESTÁTICA</a:t>
          </a:r>
          <a:endParaRPr lang="es-PE" sz="1100" b="1" kern="12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0.29593</cdr:x>
      <cdr:y>0.5111</cdr:y>
    </cdr:from>
    <cdr:to>
      <cdr:x>0.5569</cdr:x>
      <cdr:y>0.5743</cdr:y>
    </cdr:to>
    <cdr:sp macro="" textlink="">
      <cdr:nvSpPr>
        <cdr:cNvPr id="4" name="CuadroTexto 1">
          <a:extLst xmlns:a="http://schemas.openxmlformats.org/drawingml/2006/main">
            <a:ext uri="{FF2B5EF4-FFF2-40B4-BE49-F238E27FC236}">
              <a16:creationId xmlns:a16="http://schemas.microsoft.com/office/drawing/2014/main" id="{EA42026A-1CB8-072B-9125-DBA89FE8756E}"/>
            </a:ext>
          </a:extLst>
        </cdr:cNvPr>
        <cdr:cNvSpPr txBox="1"/>
      </cdr:nvSpPr>
      <cdr:spPr>
        <a:xfrm xmlns:a="http://schemas.openxmlformats.org/drawingml/2006/main">
          <a:off x="2369720" y="2591175"/>
          <a:ext cx="2089805" cy="3204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s-PE" sz="1100" b="1" kern="1200">
              <a:solidFill>
                <a:sysClr val="windowText" lastClr="000000"/>
              </a:solidFill>
            </a:rPr>
            <a:t>PERFIL DE LA LÍNEA</a:t>
          </a:r>
        </a:p>
        <a:p xmlns:a="http://schemas.openxmlformats.org/drawingml/2006/main">
          <a:pPr algn="l"/>
          <a:r>
            <a:rPr lang="es-PE" sz="1100" b="1" kern="1200">
              <a:solidFill>
                <a:sysClr val="windowText" lastClr="000000"/>
              </a:solidFill>
            </a:rPr>
            <a:t>DE CONDUCCIÓN</a:t>
          </a:r>
        </a:p>
      </cdr:txBody>
    </cdr:sp>
  </cdr:relSizeAnchor>
</c:userShap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mediahub.wavin.com/m/374e9b4d5e52d073/original/Ficha_Tecnica_PVC-U_Pavco_Wavin.pdf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mediahub.wavin.com/m/374e9b4d5e52d073/original/Ficha_Tecnica_PVC-U_Pavco_Wavin.pdf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https://mediahub.wavin.com/m/374e9b4d5e52d073/original/Ficha_Tecnica_PVC-U_Pavco_Wavin.pdf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swm.info/sites/default/files/reference_attachments/OPS%202005c%20Revervorios%20elevado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G35"/>
  <sheetViews>
    <sheetView showGridLines="0" workbookViewId="0"/>
  </sheetViews>
  <sheetFormatPr baseColWidth="10" defaultColWidth="12.5703125" defaultRowHeight="15.75" customHeight="1" x14ac:dyDescent="0.2"/>
  <cols>
    <col min="2" max="2" width="15" customWidth="1"/>
  </cols>
  <sheetData>
    <row r="2" spans="2:7" ht="15.75" customHeight="1" x14ac:dyDescent="0.2">
      <c r="B2" s="1" t="s">
        <v>0</v>
      </c>
    </row>
    <row r="3" spans="2:7" ht="15.75" customHeight="1" x14ac:dyDescent="0.2">
      <c r="B3" s="2" t="s">
        <v>1</v>
      </c>
      <c r="C3" s="3" t="s">
        <v>2</v>
      </c>
    </row>
    <row r="4" spans="2:7" ht="15.75" customHeight="1" x14ac:dyDescent="0.2">
      <c r="B4" s="2" t="s">
        <v>3</v>
      </c>
      <c r="C4" s="3" t="s">
        <v>4</v>
      </c>
    </row>
    <row r="5" spans="2:7" ht="15.75" customHeight="1" x14ac:dyDescent="0.2">
      <c r="B5" s="2" t="s">
        <v>5</v>
      </c>
      <c r="C5" s="3" t="s">
        <v>6</v>
      </c>
    </row>
    <row r="6" spans="2:7" ht="15.75" customHeight="1" x14ac:dyDescent="0.2">
      <c r="B6" s="2" t="s">
        <v>7</v>
      </c>
      <c r="C6" s="3" t="s">
        <v>6</v>
      </c>
    </row>
    <row r="8" spans="2:7" ht="15.75" customHeight="1" x14ac:dyDescent="0.2">
      <c r="B8" s="1" t="s">
        <v>8</v>
      </c>
    </row>
    <row r="9" spans="2:7" ht="15.75" customHeight="1" x14ac:dyDescent="0.2">
      <c r="B9" s="94" t="s">
        <v>9</v>
      </c>
      <c r="C9" s="96" t="s">
        <v>10</v>
      </c>
      <c r="D9" s="97"/>
      <c r="E9" s="98"/>
      <c r="F9" s="4"/>
      <c r="G9" s="5"/>
    </row>
    <row r="10" spans="2:7" ht="15.75" customHeight="1" x14ac:dyDescent="0.2">
      <c r="B10" s="95"/>
      <c r="C10" s="6" t="s">
        <v>11</v>
      </c>
      <c r="D10" s="6" t="s">
        <v>12</v>
      </c>
      <c r="E10" s="6" t="s">
        <v>13</v>
      </c>
      <c r="F10" s="7" t="s">
        <v>14</v>
      </c>
      <c r="G10" s="8" t="s">
        <v>15</v>
      </c>
    </row>
    <row r="11" spans="2:7" ht="15.75" customHeight="1" x14ac:dyDescent="0.2">
      <c r="B11" s="9">
        <v>1993</v>
      </c>
      <c r="C11" s="10">
        <f>E11*AVERAGE(F12:F13)</f>
        <v>4314.9055336144083</v>
      </c>
      <c r="D11" s="10" t="s">
        <v>16</v>
      </c>
      <c r="E11" s="10">
        <v>13979</v>
      </c>
      <c r="F11" s="11">
        <f t="shared" ref="F11:F13" si="0">C11/$E11</f>
        <v>0.30867054393121168</v>
      </c>
      <c r="G11" s="11"/>
    </row>
    <row r="12" spans="2:7" ht="15.75" customHeight="1" x14ac:dyDescent="0.2">
      <c r="B12" s="9">
        <v>2005</v>
      </c>
      <c r="C12" s="10">
        <v>4381</v>
      </c>
      <c r="D12" s="10">
        <v>10458</v>
      </c>
      <c r="E12" s="10">
        <f t="shared" ref="E12:E13" si="1">C12+D12</f>
        <v>14839</v>
      </c>
      <c r="F12" s="11">
        <f t="shared" si="0"/>
        <v>0.29523552800053909</v>
      </c>
      <c r="G12" s="11">
        <f t="shared" ref="G12:G13" si="2">D12/$E12</f>
        <v>0.70476447199946091</v>
      </c>
    </row>
    <row r="13" spans="2:7" ht="15.75" customHeight="1" x14ac:dyDescent="0.2">
      <c r="B13" s="9">
        <v>2007</v>
      </c>
      <c r="C13" s="10">
        <v>4571</v>
      </c>
      <c r="D13" s="10">
        <v>9620</v>
      </c>
      <c r="E13" s="10">
        <f t="shared" si="1"/>
        <v>14191</v>
      </c>
      <c r="F13" s="11">
        <f t="shared" si="0"/>
        <v>0.32210555986188427</v>
      </c>
      <c r="G13" s="11">
        <f t="shared" si="2"/>
        <v>0.67789444013811573</v>
      </c>
    </row>
    <row r="14" spans="2:7" ht="15.75" customHeight="1" x14ac:dyDescent="0.2">
      <c r="B14" s="9">
        <v>2017</v>
      </c>
      <c r="C14" s="10">
        <v>4723</v>
      </c>
      <c r="D14" s="10" t="s">
        <v>16</v>
      </c>
      <c r="E14" s="9"/>
      <c r="F14" s="7"/>
      <c r="G14" s="7"/>
    </row>
    <row r="15" spans="2:7" ht="15.75" customHeight="1" x14ac:dyDescent="0.2">
      <c r="B15" s="7"/>
      <c r="C15" s="7"/>
      <c r="D15" s="7"/>
      <c r="E15" s="7"/>
      <c r="F15" s="7"/>
      <c r="G15" s="7"/>
    </row>
    <row r="16" spans="2:7" ht="15.75" customHeight="1" x14ac:dyDescent="0.2">
      <c r="B16" s="12" t="s">
        <v>17</v>
      </c>
      <c r="C16" s="4"/>
      <c r="D16" s="4"/>
      <c r="E16" s="4"/>
      <c r="F16" s="4"/>
      <c r="G16" s="4"/>
    </row>
    <row r="17" spans="2:7" ht="15.75" customHeight="1" x14ac:dyDescent="0.2">
      <c r="G17" s="4"/>
    </row>
    <row r="18" spans="2:7" ht="15.75" customHeight="1" x14ac:dyDescent="0.2">
      <c r="B18" s="6" t="s">
        <v>18</v>
      </c>
      <c r="C18" s="9">
        <v>1.1499999999999999</v>
      </c>
      <c r="D18" s="13" t="s">
        <v>217</v>
      </c>
    </row>
    <row r="20" spans="2:7" ht="15.75" customHeight="1" x14ac:dyDescent="0.2">
      <c r="B20" s="6" t="s">
        <v>9</v>
      </c>
      <c r="C20" s="6" t="s">
        <v>19</v>
      </c>
      <c r="D20" s="13" t="s">
        <v>20</v>
      </c>
    </row>
    <row r="21" spans="2:7" ht="15.75" customHeight="1" x14ac:dyDescent="0.2">
      <c r="B21" s="9">
        <v>1993</v>
      </c>
      <c r="C21" s="14">
        <f t="shared" ref="C21:C24" si="3">ROUNDUP($C$18*C11,0)</f>
        <v>4963</v>
      </c>
    </row>
    <row r="22" spans="2:7" ht="15.75" customHeight="1" x14ac:dyDescent="0.2">
      <c r="B22" s="9">
        <v>2005</v>
      </c>
      <c r="C22" s="14">
        <f t="shared" si="3"/>
        <v>5039</v>
      </c>
    </row>
    <row r="23" spans="2:7" ht="15.75" customHeight="1" x14ac:dyDescent="0.2">
      <c r="B23" s="9">
        <v>2007</v>
      </c>
      <c r="C23" s="14">
        <f t="shared" si="3"/>
        <v>5257</v>
      </c>
    </row>
    <row r="24" spans="2:7" ht="15.75" customHeight="1" x14ac:dyDescent="0.2">
      <c r="B24" s="9">
        <v>2017</v>
      </c>
      <c r="C24" s="14">
        <f t="shared" si="3"/>
        <v>5432</v>
      </c>
    </row>
    <row r="26" spans="2:7" ht="15.75" customHeight="1" x14ac:dyDescent="0.2">
      <c r="B26" s="12" t="s">
        <v>21</v>
      </c>
      <c r="C26" s="4"/>
      <c r="D26" s="4"/>
      <c r="E26" s="4"/>
      <c r="F26" s="4"/>
    </row>
    <row r="28" spans="2:7" ht="15.75" customHeight="1" x14ac:dyDescent="0.2">
      <c r="C28" s="15" t="s">
        <v>22</v>
      </c>
      <c r="D28" s="15" t="s">
        <v>23</v>
      </c>
      <c r="E28" s="15" t="s">
        <v>24</v>
      </c>
    </row>
    <row r="29" spans="2:7" ht="15.75" customHeight="1" x14ac:dyDescent="0.2">
      <c r="B29" s="16" t="s">
        <v>25</v>
      </c>
      <c r="C29" s="17">
        <v>2026</v>
      </c>
      <c r="D29" s="17">
        <v>2036</v>
      </c>
      <c r="E29" s="17">
        <v>2046</v>
      </c>
      <c r="F29" s="17" t="s">
        <v>26</v>
      </c>
      <c r="G29" s="13" t="s">
        <v>27</v>
      </c>
    </row>
    <row r="30" spans="2:7" ht="15.75" customHeight="1" x14ac:dyDescent="0.2">
      <c r="B30" s="18" t="s">
        <v>28</v>
      </c>
      <c r="C30" s="9">
        <v>5582</v>
      </c>
      <c r="D30" s="9">
        <v>5781</v>
      </c>
      <c r="E30" s="9">
        <v>5980</v>
      </c>
      <c r="F30" s="19">
        <v>0.84778299700000004</v>
      </c>
    </row>
    <row r="31" spans="2:7" ht="15.75" customHeight="1" x14ac:dyDescent="0.2">
      <c r="B31" s="16" t="s">
        <v>29</v>
      </c>
      <c r="C31" s="20">
        <v>5591</v>
      </c>
      <c r="D31" s="20">
        <v>5807</v>
      </c>
      <c r="E31" s="20">
        <v>6030</v>
      </c>
      <c r="F31" s="21">
        <v>0.84842476200000005</v>
      </c>
    </row>
    <row r="32" spans="2:7" ht="15.75" customHeight="1" x14ac:dyDescent="0.2">
      <c r="B32" s="18" t="s">
        <v>30</v>
      </c>
      <c r="C32" s="9">
        <v>5593</v>
      </c>
      <c r="D32" s="9">
        <v>5812</v>
      </c>
      <c r="E32" s="9">
        <v>6040</v>
      </c>
      <c r="F32" s="19">
        <v>0.84913388599999995</v>
      </c>
    </row>
    <row r="33" spans="2:6" ht="15.75" customHeight="1" x14ac:dyDescent="0.2">
      <c r="B33" s="16" t="s">
        <v>31</v>
      </c>
      <c r="C33" s="20">
        <v>5580</v>
      </c>
      <c r="D33" s="20">
        <v>5776</v>
      </c>
      <c r="E33" s="20">
        <v>5972</v>
      </c>
      <c r="F33" s="21">
        <v>0.84703417400000003</v>
      </c>
    </row>
    <row r="34" spans="2:6" ht="15.75" customHeight="1" x14ac:dyDescent="0.2">
      <c r="B34" s="18" t="s">
        <v>32</v>
      </c>
      <c r="C34" s="9">
        <v>5773</v>
      </c>
      <c r="D34" s="9">
        <v>6239</v>
      </c>
      <c r="E34" s="93">
        <v>6807</v>
      </c>
      <c r="F34" s="19">
        <v>0.88587973062015501</v>
      </c>
    </row>
    <row r="35" spans="2:6" ht="15.75" customHeight="1" x14ac:dyDescent="0.2">
      <c r="E35" s="41" t="s">
        <v>218</v>
      </c>
    </row>
  </sheetData>
  <mergeCells count="2">
    <mergeCell ref="B9:B10"/>
    <mergeCell ref="C9:E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D23"/>
  <sheetViews>
    <sheetView showGridLines="0" workbookViewId="0"/>
  </sheetViews>
  <sheetFormatPr baseColWidth="10" defaultColWidth="12.5703125" defaultRowHeight="15.75" customHeight="1" x14ac:dyDescent="0.2"/>
  <cols>
    <col min="2" max="2" width="16.140625" customWidth="1"/>
    <col min="3" max="3" width="15.42578125" customWidth="1"/>
  </cols>
  <sheetData>
    <row r="2" spans="2:4" ht="15.75" customHeight="1" x14ac:dyDescent="0.2">
      <c r="B2" s="1" t="s">
        <v>33</v>
      </c>
    </row>
    <row r="3" spans="2:4" ht="15.75" customHeight="1" x14ac:dyDescent="0.2">
      <c r="B3" s="22" t="s">
        <v>34</v>
      </c>
    </row>
    <row r="4" spans="2:4" ht="15.75" customHeight="1" x14ac:dyDescent="0.2">
      <c r="B4" s="22" t="s">
        <v>35</v>
      </c>
    </row>
    <row r="5" spans="2:4" ht="15.75" customHeight="1" x14ac:dyDescent="0.2">
      <c r="B5" s="22" t="s">
        <v>36</v>
      </c>
    </row>
    <row r="7" spans="2:4" ht="15.75" customHeight="1" x14ac:dyDescent="0.2">
      <c r="B7" s="1" t="s">
        <v>37</v>
      </c>
    </row>
    <row r="8" spans="2:4" ht="15.75" customHeight="1" x14ac:dyDescent="0.2">
      <c r="B8" s="22" t="s">
        <v>38</v>
      </c>
    </row>
    <row r="9" spans="2:4" ht="15.75" customHeight="1" x14ac:dyDescent="0.2">
      <c r="B9" s="22" t="s">
        <v>39</v>
      </c>
    </row>
    <row r="10" spans="2:4" ht="15.75" customHeight="1" x14ac:dyDescent="0.2">
      <c r="B10" s="22" t="s">
        <v>40</v>
      </c>
    </row>
    <row r="11" spans="2:4" ht="15.75" customHeight="1" x14ac:dyDescent="0.2">
      <c r="B11" s="22" t="s">
        <v>41</v>
      </c>
    </row>
    <row r="13" spans="2:4" ht="15.75" customHeight="1" x14ac:dyDescent="0.2">
      <c r="B13" s="1" t="s">
        <v>42</v>
      </c>
    </row>
    <row r="14" spans="2:4" ht="15.75" customHeight="1" x14ac:dyDescent="0.2">
      <c r="B14" s="23" t="s">
        <v>33</v>
      </c>
      <c r="C14" s="9" t="s">
        <v>43</v>
      </c>
    </row>
    <row r="15" spans="2:4" ht="15.75" customHeight="1" x14ac:dyDescent="0.2">
      <c r="B15" s="23" t="s">
        <v>44</v>
      </c>
      <c r="C15" s="9" t="s">
        <v>45</v>
      </c>
    </row>
    <row r="16" spans="2:4" ht="15.75" customHeight="1" x14ac:dyDescent="0.2">
      <c r="B16" s="23" t="s">
        <v>46</v>
      </c>
      <c r="C16" s="9">
        <v>180</v>
      </c>
      <c r="D16" s="13" t="s">
        <v>47</v>
      </c>
    </row>
    <row r="17" spans="2:4" ht="15.75" customHeight="1" x14ac:dyDescent="0.2">
      <c r="C17" s="4"/>
    </row>
    <row r="18" spans="2:4" ht="15.75" customHeight="1" x14ac:dyDescent="0.2">
      <c r="B18" s="1" t="s">
        <v>48</v>
      </c>
      <c r="C18" s="4"/>
    </row>
    <row r="19" spans="2:4" ht="15.75" customHeight="1" x14ac:dyDescent="0.2">
      <c r="B19" s="23" t="s">
        <v>49</v>
      </c>
      <c r="C19" s="9" t="s">
        <v>50</v>
      </c>
    </row>
    <row r="20" spans="2:4" ht="15.75" customHeight="1" x14ac:dyDescent="0.2">
      <c r="B20" s="23" t="s">
        <v>46</v>
      </c>
      <c r="C20" s="9">
        <v>150</v>
      </c>
      <c r="D20" s="13" t="s">
        <v>47</v>
      </c>
    </row>
    <row r="22" spans="2:4" ht="15.75" customHeight="1" x14ac:dyDescent="0.2">
      <c r="B22" s="22"/>
    </row>
    <row r="23" spans="2:4" ht="15.75" customHeight="1" x14ac:dyDescent="0.2">
      <c r="B23" s="22" t="s">
        <v>219</v>
      </c>
      <c r="D23" s="5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H39"/>
  <sheetViews>
    <sheetView showGridLines="0" workbookViewId="0"/>
  </sheetViews>
  <sheetFormatPr baseColWidth="10" defaultColWidth="12.5703125" defaultRowHeight="15.75" customHeight="1" x14ac:dyDescent="0.2"/>
  <cols>
    <col min="1" max="1" width="8" customWidth="1"/>
    <col min="2" max="2" width="5.42578125" customWidth="1"/>
  </cols>
  <sheetData>
    <row r="2" spans="2:8" ht="15.75" customHeight="1" x14ac:dyDescent="0.2">
      <c r="B2" s="100" t="s">
        <v>51</v>
      </c>
      <c r="C2" s="101"/>
      <c r="D2" s="101"/>
      <c r="E2" s="101"/>
      <c r="F2" s="101"/>
      <c r="G2" s="101"/>
      <c r="H2" s="101"/>
    </row>
    <row r="4" spans="2:8" ht="15.75" customHeight="1" x14ac:dyDescent="0.2">
      <c r="C4" s="6" t="s">
        <v>52</v>
      </c>
      <c r="D4" s="9">
        <f>POBLACION!E34</f>
        <v>6807</v>
      </c>
      <c r="E4" s="13" t="s">
        <v>53</v>
      </c>
    </row>
    <row r="6" spans="2:8" ht="15.75" customHeight="1" x14ac:dyDescent="0.2">
      <c r="B6" s="100" t="s">
        <v>54</v>
      </c>
      <c r="C6" s="101"/>
      <c r="D6" s="101"/>
      <c r="E6" s="101"/>
      <c r="F6" s="101"/>
      <c r="G6" s="101"/>
      <c r="H6" s="101"/>
    </row>
    <row r="8" spans="2:8" ht="15.75" customHeight="1" x14ac:dyDescent="0.2">
      <c r="C8" s="6" t="s">
        <v>55</v>
      </c>
      <c r="D8" s="9">
        <f>DOTACION!C20</f>
        <v>150</v>
      </c>
      <c r="E8" s="13" t="s">
        <v>56</v>
      </c>
    </row>
    <row r="10" spans="2:8" ht="15.75" customHeight="1" x14ac:dyDescent="0.2">
      <c r="B10" s="100" t="s">
        <v>57</v>
      </c>
      <c r="C10" s="101"/>
      <c r="D10" s="101"/>
      <c r="E10" s="101"/>
      <c r="F10" s="101"/>
      <c r="G10" s="101"/>
      <c r="H10" s="101"/>
    </row>
    <row r="12" spans="2:8" ht="15.75" customHeight="1" x14ac:dyDescent="0.2">
      <c r="C12" s="6" t="s">
        <v>58</v>
      </c>
      <c r="D12" s="24">
        <f>D4*D8/86400</f>
        <v>11.817708333333334</v>
      </c>
      <c r="E12" s="13" t="s">
        <v>59</v>
      </c>
    </row>
    <row r="14" spans="2:8" ht="15.75" customHeight="1" x14ac:dyDescent="0.2">
      <c r="B14" s="100" t="s">
        <v>60</v>
      </c>
      <c r="C14" s="101"/>
      <c r="D14" s="101"/>
      <c r="E14" s="101"/>
      <c r="F14" s="101"/>
      <c r="G14" s="101"/>
      <c r="H14" s="101"/>
    </row>
    <row r="16" spans="2:8" ht="15.75" customHeight="1" x14ac:dyDescent="0.2">
      <c r="C16" s="6" t="s">
        <v>61</v>
      </c>
      <c r="D16" s="9">
        <v>1.3</v>
      </c>
      <c r="E16" s="25" t="s">
        <v>62</v>
      </c>
    </row>
    <row r="18" spans="2:8" ht="15.75" customHeight="1" x14ac:dyDescent="0.2">
      <c r="C18" s="6" t="s">
        <v>63</v>
      </c>
      <c r="D18" s="24">
        <f>D16*D12</f>
        <v>15.363020833333335</v>
      </c>
      <c r="E18" s="13" t="s">
        <v>59</v>
      </c>
    </row>
    <row r="21" spans="2:8" ht="15.75" customHeight="1" x14ac:dyDescent="0.2">
      <c r="B21" s="100" t="s">
        <v>64</v>
      </c>
      <c r="C21" s="101"/>
      <c r="D21" s="101"/>
      <c r="E21" s="101"/>
      <c r="F21" s="101"/>
      <c r="G21" s="101"/>
      <c r="H21" s="101"/>
    </row>
    <row r="23" spans="2:8" ht="15.75" customHeight="1" x14ac:dyDescent="0.2">
      <c r="C23" s="6" t="s">
        <v>65</v>
      </c>
      <c r="D23" s="9">
        <v>2</v>
      </c>
      <c r="E23" s="25" t="s">
        <v>66</v>
      </c>
    </row>
    <row r="25" spans="2:8" ht="15.75" customHeight="1" x14ac:dyDescent="0.2">
      <c r="C25" s="6" t="s">
        <v>67</v>
      </c>
      <c r="D25" s="24">
        <f>D23*D12</f>
        <v>23.635416666666668</v>
      </c>
      <c r="E25" s="13" t="s">
        <v>59</v>
      </c>
    </row>
    <row r="28" spans="2:8" ht="15.75" customHeight="1" x14ac:dyDescent="0.2">
      <c r="B28" s="100" t="s">
        <v>68</v>
      </c>
      <c r="C28" s="101"/>
      <c r="D28" s="101"/>
      <c r="E28" s="101"/>
      <c r="F28" s="101"/>
      <c r="G28" s="101"/>
      <c r="H28" s="101"/>
    </row>
    <row r="31" spans="2:8" ht="15.75" customHeight="1" x14ac:dyDescent="0.2">
      <c r="C31" s="102" t="s">
        <v>69</v>
      </c>
      <c r="D31" s="98"/>
      <c r="E31" s="26" t="s">
        <v>70</v>
      </c>
      <c r="F31" s="27"/>
    </row>
    <row r="32" spans="2:8" ht="15.75" customHeight="1" x14ac:dyDescent="0.2">
      <c r="C32" s="99" t="s">
        <v>71</v>
      </c>
      <c r="D32" s="98"/>
      <c r="E32" s="9" t="s">
        <v>63</v>
      </c>
      <c r="F32" s="92">
        <f>+D18</f>
        <v>15.363020833333335</v>
      </c>
    </row>
    <row r="33" spans="3:8" ht="15.75" customHeight="1" x14ac:dyDescent="0.2">
      <c r="C33" s="99" t="s">
        <v>72</v>
      </c>
      <c r="D33" s="98"/>
      <c r="E33" s="9" t="s">
        <v>63</v>
      </c>
      <c r="F33" s="92">
        <f>+F32</f>
        <v>15.363020833333335</v>
      </c>
    </row>
    <row r="34" spans="3:8" ht="15.75" customHeight="1" x14ac:dyDescent="0.2">
      <c r="C34" s="99" t="s">
        <v>73</v>
      </c>
      <c r="D34" s="98"/>
      <c r="E34" s="9" t="s">
        <v>63</v>
      </c>
      <c r="F34" s="92">
        <f>+F33</f>
        <v>15.363020833333335</v>
      </c>
    </row>
    <row r="35" spans="3:8" ht="15.75" customHeight="1" x14ac:dyDescent="0.2">
      <c r="C35" s="99" t="s">
        <v>74</v>
      </c>
      <c r="D35" s="98"/>
      <c r="E35" s="9" t="s">
        <v>63</v>
      </c>
      <c r="F35" s="92">
        <f>+F34</f>
        <v>15.363020833333335</v>
      </c>
    </row>
    <row r="36" spans="3:8" ht="15.75" customHeight="1" x14ac:dyDescent="0.2">
      <c r="C36" s="99" t="s">
        <v>75</v>
      </c>
      <c r="D36" s="98"/>
      <c r="E36" s="9" t="s">
        <v>63</v>
      </c>
      <c r="F36" s="92">
        <f>+F35</f>
        <v>15.363020833333335</v>
      </c>
    </row>
    <row r="37" spans="3:8" ht="12.75" x14ac:dyDescent="0.2">
      <c r="C37" s="99" t="s">
        <v>76</v>
      </c>
      <c r="D37" s="98"/>
      <c r="E37" s="9" t="s">
        <v>67</v>
      </c>
      <c r="F37" s="92">
        <f>+D25</f>
        <v>23.635416666666668</v>
      </c>
    </row>
    <row r="38" spans="3:8" ht="12.75" x14ac:dyDescent="0.2">
      <c r="C38" s="99" t="s">
        <v>77</v>
      </c>
      <c r="D38" s="98"/>
      <c r="E38" s="9" t="s">
        <v>67</v>
      </c>
      <c r="F38" s="92">
        <f>+F37</f>
        <v>23.635416666666668</v>
      </c>
      <c r="G38" s="22" t="s">
        <v>78</v>
      </c>
      <c r="H38" s="28" t="s">
        <v>79</v>
      </c>
    </row>
    <row r="39" spans="3:8" ht="15.75" customHeight="1" x14ac:dyDescent="0.2">
      <c r="H39" s="41" t="s">
        <v>220</v>
      </c>
    </row>
  </sheetData>
  <mergeCells count="14">
    <mergeCell ref="C37:D37"/>
    <mergeCell ref="C38:D38"/>
    <mergeCell ref="B2:H2"/>
    <mergeCell ref="B6:H6"/>
    <mergeCell ref="B10:H10"/>
    <mergeCell ref="B14:H14"/>
    <mergeCell ref="B21:H21"/>
    <mergeCell ref="B28:H28"/>
    <mergeCell ref="C31:D31"/>
    <mergeCell ref="C32:D32"/>
    <mergeCell ref="C33:D33"/>
    <mergeCell ref="C34:D34"/>
    <mergeCell ref="C35:D35"/>
    <mergeCell ref="C36:D3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5162E-7916-4AA0-8CE7-8F3A3DD0A857}">
  <sheetPr>
    <outlinePr summaryBelow="0" summaryRight="0"/>
  </sheetPr>
  <dimension ref="B2:P129"/>
  <sheetViews>
    <sheetView showGridLines="0" topLeftCell="A34" zoomScaleNormal="100" workbookViewId="0"/>
  </sheetViews>
  <sheetFormatPr baseColWidth="10" defaultColWidth="12.5703125" defaultRowHeight="15.75" customHeight="1" x14ac:dyDescent="0.25"/>
  <cols>
    <col min="1" max="1" width="9.140625" customWidth="1"/>
    <col min="2" max="2" width="5.85546875" style="48" customWidth="1"/>
  </cols>
  <sheetData>
    <row r="2" spans="2:5" ht="15.75" customHeight="1" x14ac:dyDescent="0.25">
      <c r="B2" s="47" t="s">
        <v>80</v>
      </c>
    </row>
    <row r="4" spans="2:5" ht="15.75" customHeight="1" x14ac:dyDescent="0.25">
      <c r="C4" s="103" t="s">
        <v>63</v>
      </c>
      <c r="D4" s="45">
        <v>10</v>
      </c>
      <c r="E4" s="13" t="s">
        <v>59</v>
      </c>
    </row>
    <row r="5" spans="2:5" ht="15.75" customHeight="1" x14ac:dyDescent="0.25">
      <c r="C5" s="103"/>
      <c r="D5" s="46">
        <f>D4/1000</f>
        <v>0.01</v>
      </c>
      <c r="E5" s="13" t="s">
        <v>81</v>
      </c>
    </row>
    <row r="7" spans="2:5" ht="15.75" customHeight="1" x14ac:dyDescent="0.25">
      <c r="B7" s="48" t="s">
        <v>123</v>
      </c>
    </row>
    <row r="9" spans="2:5" ht="15.75" customHeight="1" x14ac:dyDescent="0.25">
      <c r="C9" s="32" t="s">
        <v>122</v>
      </c>
    </row>
    <row r="10" spans="2:5" ht="15.75" customHeight="1" x14ac:dyDescent="0.25">
      <c r="C10" s="30" t="s">
        <v>119</v>
      </c>
      <c r="D10" s="40">
        <v>1505.739</v>
      </c>
      <c r="E10" s="25" t="s">
        <v>121</v>
      </c>
    </row>
    <row r="11" spans="2:5" ht="15.75" customHeight="1" x14ac:dyDescent="0.25">
      <c r="C11" s="30" t="s">
        <v>120</v>
      </c>
      <c r="D11" s="40">
        <v>1390.7470000000001</v>
      </c>
      <c r="E11" s="25" t="s">
        <v>121</v>
      </c>
    </row>
    <row r="12" spans="2:5" ht="15.75" customHeight="1" x14ac:dyDescent="0.25">
      <c r="C12" s="53" t="s">
        <v>143</v>
      </c>
      <c r="D12" s="40">
        <v>1362.9580000000001</v>
      </c>
      <c r="E12" s="25" t="s">
        <v>121</v>
      </c>
    </row>
    <row r="14" spans="2:5" ht="15.75" customHeight="1" x14ac:dyDescent="0.25">
      <c r="C14" s="41" t="s">
        <v>126</v>
      </c>
    </row>
    <row r="15" spans="2:5" ht="15.75" customHeight="1" x14ac:dyDescent="0.25">
      <c r="C15" s="30" t="s">
        <v>125</v>
      </c>
      <c r="D15" s="49">
        <f>+D10-D11</f>
        <v>114.99199999999996</v>
      </c>
      <c r="E15" s="25" t="s">
        <v>92</v>
      </c>
    </row>
    <row r="17" spans="2:5" ht="15.75" customHeight="1" x14ac:dyDescent="0.25">
      <c r="B17" s="48" t="s">
        <v>124</v>
      </c>
    </row>
    <row r="19" spans="2:5" ht="15.75" customHeight="1" x14ac:dyDescent="0.25">
      <c r="C19" s="103" t="s">
        <v>127</v>
      </c>
      <c r="D19" s="50">
        <f>1.2*(D10-D12)</f>
        <v>171.33719999999994</v>
      </c>
      <c r="E19" s="25" t="s">
        <v>137</v>
      </c>
    </row>
    <row r="20" spans="2:5" ht="15.75" customHeight="1" x14ac:dyDescent="0.25">
      <c r="C20" s="103"/>
      <c r="D20" s="49">
        <f>D19/10</f>
        <v>17.133719999999993</v>
      </c>
      <c r="E20" s="25" t="s">
        <v>128</v>
      </c>
    </row>
    <row r="21" spans="2:5" ht="15.75" customHeight="1" x14ac:dyDescent="0.25">
      <c r="C21" s="103"/>
      <c r="D21" s="49">
        <f>+D20*14.223</f>
        <v>243.69289955999992</v>
      </c>
      <c r="E21" s="25" t="s">
        <v>129</v>
      </c>
    </row>
    <row r="22" spans="2:5" ht="15.75" customHeight="1" x14ac:dyDescent="0.25">
      <c r="C22" s="103"/>
      <c r="D22" s="49">
        <f>+D20*1.02</f>
        <v>17.476394399999993</v>
      </c>
      <c r="E22" s="25" t="s">
        <v>130</v>
      </c>
    </row>
    <row r="24" spans="2:5" ht="15.75" customHeight="1" x14ac:dyDescent="0.25">
      <c r="C24" s="32" t="s">
        <v>131</v>
      </c>
      <c r="E24" s="54" t="s">
        <v>144</v>
      </c>
    </row>
    <row r="25" spans="2:5" ht="15.75" customHeight="1" x14ac:dyDescent="0.25">
      <c r="C25" s="30" t="s">
        <v>132</v>
      </c>
      <c r="D25" s="40" t="s">
        <v>138</v>
      </c>
    </row>
    <row r="27" spans="2:5" ht="15.75" customHeight="1" x14ac:dyDescent="0.25">
      <c r="B27" s="47" t="s">
        <v>133</v>
      </c>
    </row>
    <row r="29" spans="2:5" ht="15.75" customHeight="1" x14ac:dyDescent="0.25">
      <c r="C29" s="32" t="s">
        <v>116</v>
      </c>
    </row>
    <row r="30" spans="2:5" ht="15.75" customHeight="1" x14ac:dyDescent="0.25">
      <c r="C30" s="30" t="s">
        <v>82</v>
      </c>
      <c r="D30" s="24">
        <v>0.6</v>
      </c>
      <c r="E30" s="25" t="s">
        <v>83</v>
      </c>
    </row>
    <row r="31" spans="2:5" ht="15.75" customHeight="1" x14ac:dyDescent="0.25">
      <c r="C31" s="30" t="s">
        <v>84</v>
      </c>
      <c r="D31" s="29">
        <v>3</v>
      </c>
      <c r="E31" s="25" t="s">
        <v>85</v>
      </c>
    </row>
    <row r="33" spans="2:5" ht="15.75" customHeight="1" x14ac:dyDescent="0.25">
      <c r="C33" s="32" t="s">
        <v>117</v>
      </c>
    </row>
    <row r="34" spans="2:5" ht="15.75" customHeight="1" x14ac:dyDescent="0.25">
      <c r="C34" s="104" t="s">
        <v>86</v>
      </c>
      <c r="D34" s="31">
        <f>1/0.0254*SQRT(4*$D$5/(PI()*D30))</f>
        <v>5.7351623653127515</v>
      </c>
      <c r="E34" s="25" t="s">
        <v>87</v>
      </c>
    </row>
    <row r="35" spans="2:5" ht="15.75" customHeight="1" x14ac:dyDescent="0.25">
      <c r="C35" s="95"/>
      <c r="D35" s="24">
        <f>D34*25.4</f>
        <v>145.67312407894389</v>
      </c>
      <c r="E35" s="25" t="s">
        <v>88</v>
      </c>
    </row>
    <row r="36" spans="2:5" ht="15.75" customHeight="1" x14ac:dyDescent="0.25">
      <c r="C36" s="104" t="s">
        <v>89</v>
      </c>
      <c r="D36" s="31">
        <f>1/0.0254*SQRT(4*$D$5/(PI()*D31))</f>
        <v>2.5648425821675591</v>
      </c>
      <c r="E36" s="25" t="s">
        <v>87</v>
      </c>
    </row>
    <row r="37" spans="2:5" ht="15.75" customHeight="1" x14ac:dyDescent="0.25">
      <c r="C37" s="95"/>
      <c r="D37" s="24">
        <f>D36*25.4</f>
        <v>65.147001587055996</v>
      </c>
      <c r="E37" s="25" t="s">
        <v>88</v>
      </c>
    </row>
    <row r="39" spans="2:5" ht="15.75" customHeight="1" x14ac:dyDescent="0.25">
      <c r="B39" s="47" t="s">
        <v>222</v>
      </c>
    </row>
    <row r="41" spans="2:5" ht="15.75" customHeight="1" x14ac:dyDescent="0.25">
      <c r="C41" s="32" t="s">
        <v>91</v>
      </c>
    </row>
    <row r="42" spans="2:5" ht="15.75" customHeight="1" x14ac:dyDescent="0.25">
      <c r="C42" s="104" t="s">
        <v>89</v>
      </c>
      <c r="D42" s="29">
        <v>3.5</v>
      </c>
      <c r="E42" s="25" t="s">
        <v>87</v>
      </c>
    </row>
    <row r="43" spans="2:5" ht="15.75" customHeight="1" x14ac:dyDescent="0.25">
      <c r="C43" s="95"/>
      <c r="D43" s="19">
        <f>D42*25.4/1000</f>
        <v>8.8899999999999993E-2</v>
      </c>
      <c r="E43" s="25" t="s">
        <v>92</v>
      </c>
    </row>
    <row r="45" spans="2:5" ht="15.75" customHeight="1" x14ac:dyDescent="0.25">
      <c r="C45" s="32" t="s">
        <v>93</v>
      </c>
    </row>
    <row r="46" spans="2:5" ht="15.75" customHeight="1" x14ac:dyDescent="0.25">
      <c r="C46" s="30" t="s">
        <v>94</v>
      </c>
      <c r="D46" s="33">
        <v>150</v>
      </c>
      <c r="E46" s="25" t="s">
        <v>95</v>
      </c>
    </row>
    <row r="48" spans="2:5" ht="15.75" customHeight="1" x14ac:dyDescent="0.25">
      <c r="C48" s="32" t="s">
        <v>118</v>
      </c>
    </row>
    <row r="49" spans="2:7" ht="15.75" customHeight="1" x14ac:dyDescent="0.25">
      <c r="C49" s="30" t="s">
        <v>96</v>
      </c>
      <c r="D49" s="29">
        <v>2937.9608519487383</v>
      </c>
      <c r="E49" s="25" t="s">
        <v>92</v>
      </c>
    </row>
    <row r="51" spans="2:7" ht="15.75" customHeight="1" x14ac:dyDescent="0.25">
      <c r="C51" s="30" t="s">
        <v>97</v>
      </c>
      <c r="D51" s="34">
        <f>10.67*($D$5^1.852/($D$46^1.852*$D$43^4.871))*$D$49</f>
        <v>76.205959311484889</v>
      </c>
      <c r="E51" s="25" t="s">
        <v>92</v>
      </c>
      <c r="F51" s="55" t="str">
        <f>IF(D51&gt;D15,"La carga disponible no puede transportar agua al reservorio, aumentar el diametro escogido","La carga total disponible puede transportar agua al reservorio. Todo OK")</f>
        <v>La carga total disponible puede transportar agua al reservorio. Todo OK</v>
      </c>
    </row>
    <row r="53" spans="2:7" ht="15.75" customHeight="1" x14ac:dyDescent="0.25">
      <c r="B53" s="47" t="s">
        <v>223</v>
      </c>
      <c r="G53" s="22"/>
    </row>
    <row r="55" spans="2:7" ht="15" x14ac:dyDescent="0.25">
      <c r="C55" s="32" t="s">
        <v>99</v>
      </c>
    </row>
    <row r="56" spans="2:7" ht="15" x14ac:dyDescent="0.25">
      <c r="C56" s="30" t="s">
        <v>100</v>
      </c>
      <c r="D56" s="34">
        <f>D5/(PI()*D43^2/4)</f>
        <v>1.6110410133795798</v>
      </c>
      <c r="E56" s="25" t="s">
        <v>83</v>
      </c>
      <c r="F56" s="51" t="s">
        <v>135</v>
      </c>
    </row>
    <row r="59" spans="2:7" ht="15.75" customHeight="1" x14ac:dyDescent="0.25">
      <c r="B59" s="48" t="s">
        <v>136</v>
      </c>
    </row>
    <row r="61" spans="2:7" ht="15" x14ac:dyDescent="0.25">
      <c r="C61" s="32" t="s">
        <v>105</v>
      </c>
    </row>
    <row r="62" spans="2:7" ht="15" x14ac:dyDescent="0.25">
      <c r="C62" s="36" t="s">
        <v>94</v>
      </c>
      <c r="D62" s="52">
        <f>+D46</f>
        <v>150</v>
      </c>
    </row>
    <row r="63" spans="2:7" ht="15" x14ac:dyDescent="0.25">
      <c r="C63" s="36" t="s">
        <v>55</v>
      </c>
      <c r="D63" s="37">
        <f>D42</f>
        <v>3.5</v>
      </c>
      <c r="E63" s="25" t="s">
        <v>87</v>
      </c>
    </row>
    <row r="64" spans="2:7" ht="15" x14ac:dyDescent="0.25">
      <c r="C64" s="42" t="s">
        <v>63</v>
      </c>
      <c r="D64" s="37">
        <f>+D5</f>
        <v>0.01</v>
      </c>
      <c r="E64" s="25" t="s">
        <v>81</v>
      </c>
    </row>
    <row r="65" spans="3:16" ht="15" x14ac:dyDescent="0.25">
      <c r="E65" s="25"/>
    </row>
    <row r="66" spans="3:16" ht="15.75" customHeight="1" x14ac:dyDescent="0.25">
      <c r="M66" s="41" t="s">
        <v>142</v>
      </c>
      <c r="N66" s="41" t="s">
        <v>141</v>
      </c>
      <c r="P66" s="41" t="s">
        <v>139</v>
      </c>
    </row>
    <row r="67" spans="3:16" ht="15.75" customHeight="1" x14ac:dyDescent="0.25">
      <c r="C67" s="39" t="s">
        <v>104</v>
      </c>
      <c r="D67" s="39" t="s">
        <v>106</v>
      </c>
      <c r="E67" s="43" t="s">
        <v>107</v>
      </c>
      <c r="F67" s="39" t="s">
        <v>94</v>
      </c>
      <c r="G67" s="43" t="s">
        <v>109</v>
      </c>
      <c r="H67" s="43" t="s">
        <v>108</v>
      </c>
      <c r="I67" s="43" t="s">
        <v>110</v>
      </c>
      <c r="K67" s="43" t="s">
        <v>111</v>
      </c>
      <c r="L67" s="43" t="s">
        <v>115</v>
      </c>
      <c r="M67" s="43" t="s">
        <v>113</v>
      </c>
      <c r="N67" s="43" t="s">
        <v>112</v>
      </c>
      <c r="O67" s="43" t="s">
        <v>221</v>
      </c>
      <c r="P67" s="43" t="s">
        <v>140</v>
      </c>
    </row>
    <row r="68" spans="3:16" ht="15.75" customHeight="1" x14ac:dyDescent="0.25">
      <c r="C68" s="36">
        <v>1</v>
      </c>
      <c r="D68" s="44">
        <v>6.2831617041104382</v>
      </c>
      <c r="E68" s="36">
        <f t="shared" ref="E68:E82" si="0">+$D$63*0.0254</f>
        <v>8.8899999999999993E-2</v>
      </c>
      <c r="F68" s="36">
        <f t="shared" ref="F68:F82" si="1">$D$62</f>
        <v>150</v>
      </c>
      <c r="G68" s="37">
        <f t="shared" ref="G68:G82" si="2">+$D$64</f>
        <v>0.01</v>
      </c>
      <c r="H68" s="37">
        <f>+G68/(PI()*E68^2/4)</f>
        <v>1.6110410133795798</v>
      </c>
      <c r="I68" s="37">
        <f>10.67*G68^1.852*D68/F68^1.852/E68^4.871</f>
        <v>0.16297506648304189</v>
      </c>
      <c r="K68" s="42">
        <v>1</v>
      </c>
      <c r="L68" s="40">
        <v>0</v>
      </c>
      <c r="M68" s="40">
        <v>1505.739</v>
      </c>
      <c r="N68" s="36">
        <f>+M68</f>
        <v>1505.739</v>
      </c>
      <c r="O68" s="37">
        <f>+N68-M68</f>
        <v>0</v>
      </c>
      <c r="P68" s="36">
        <f>+$M$68</f>
        <v>1505.739</v>
      </c>
    </row>
    <row r="69" spans="3:16" ht="15.75" customHeight="1" x14ac:dyDescent="0.25">
      <c r="C69" s="36">
        <f>1+C68</f>
        <v>2</v>
      </c>
      <c r="D69" s="44">
        <v>24.522853096652522</v>
      </c>
      <c r="E69" s="36">
        <f t="shared" si="0"/>
        <v>8.8899999999999993E-2</v>
      </c>
      <c r="F69" s="36">
        <f t="shared" si="1"/>
        <v>150</v>
      </c>
      <c r="G69" s="37">
        <f t="shared" si="2"/>
        <v>0.01</v>
      </c>
      <c r="H69" s="37">
        <f t="shared" ref="H69:H82" si="3">+G69/(PI()*E69^2/4)</f>
        <v>1.6110410133795798</v>
      </c>
      <c r="I69" s="37">
        <f t="shared" ref="I69:I82" si="4">10.67*G69^1.852*D69/F69^1.852/E69^4.871</f>
        <v>0.63608320173683164</v>
      </c>
      <c r="K69" s="36">
        <f>+K68+1</f>
        <v>2</v>
      </c>
      <c r="L69" s="40">
        <v>6.26</v>
      </c>
      <c r="M69" s="40">
        <v>1505.2</v>
      </c>
      <c r="N69" s="37">
        <f t="shared" ref="N69:N83" si="5">N68-I68</f>
        <v>1505.5760249335169</v>
      </c>
      <c r="O69" s="37">
        <f t="shared" ref="O69:O83" si="6">+N69-M69</f>
        <v>0.37602493351687372</v>
      </c>
      <c r="P69" s="36">
        <f t="shared" ref="P69:P128" si="7">+$M$68</f>
        <v>1505.739</v>
      </c>
    </row>
    <row r="70" spans="3:16" ht="15.75" customHeight="1" x14ac:dyDescent="0.25">
      <c r="C70" s="36">
        <f t="shared" ref="C70:C127" si="8">1+C69</f>
        <v>3</v>
      </c>
      <c r="D70" s="44">
        <v>11.073367193405993</v>
      </c>
      <c r="E70" s="36">
        <f t="shared" si="0"/>
        <v>8.8899999999999993E-2</v>
      </c>
      <c r="F70" s="36">
        <f t="shared" si="1"/>
        <v>150</v>
      </c>
      <c r="G70" s="37">
        <f t="shared" si="2"/>
        <v>0.01</v>
      </c>
      <c r="H70" s="37">
        <f t="shared" si="3"/>
        <v>1.6110410133795798</v>
      </c>
      <c r="I70" s="37">
        <f t="shared" si="4"/>
        <v>0.28722526007182897</v>
      </c>
      <c r="K70" s="36">
        <f t="shared" ref="K70:K128" si="9">+K69+1</f>
        <v>3</v>
      </c>
      <c r="L70" s="40">
        <v>30.69</v>
      </c>
      <c r="M70" s="40">
        <v>1503.068</v>
      </c>
      <c r="N70" s="37">
        <f t="shared" si="5"/>
        <v>1504.93994173178</v>
      </c>
      <c r="O70" s="37">
        <f t="shared" si="6"/>
        <v>1.871941731779998</v>
      </c>
      <c r="P70" s="36">
        <f t="shared" si="7"/>
        <v>1505.739</v>
      </c>
    </row>
    <row r="71" spans="3:16" ht="15.75" customHeight="1" x14ac:dyDescent="0.25">
      <c r="C71" s="36">
        <f t="shared" si="8"/>
        <v>4</v>
      </c>
      <c r="D71" s="44">
        <v>26.244871880045412</v>
      </c>
      <c r="E71" s="36">
        <f t="shared" si="0"/>
        <v>8.8899999999999993E-2</v>
      </c>
      <c r="F71" s="36">
        <f t="shared" si="1"/>
        <v>150</v>
      </c>
      <c r="G71" s="37">
        <f t="shared" si="2"/>
        <v>0.01</v>
      </c>
      <c r="H71" s="37">
        <f t="shared" si="3"/>
        <v>1.6110410133795798</v>
      </c>
      <c r="I71" s="37">
        <f t="shared" si="4"/>
        <v>0.68074958769422389</v>
      </c>
      <c r="K71" s="36">
        <f t="shared" si="9"/>
        <v>4</v>
      </c>
      <c r="L71" s="40">
        <v>41.74</v>
      </c>
      <c r="M71" s="40">
        <v>1502.3489999999999</v>
      </c>
      <c r="N71" s="37">
        <f t="shared" si="5"/>
        <v>1504.6527164717081</v>
      </c>
      <c r="O71" s="37">
        <f t="shared" si="6"/>
        <v>2.3037164717081851</v>
      </c>
      <c r="P71" s="36">
        <f t="shared" si="7"/>
        <v>1505.739</v>
      </c>
    </row>
    <row r="72" spans="3:16" ht="15.75" customHeight="1" x14ac:dyDescent="0.25">
      <c r="C72" s="36">
        <f t="shared" si="8"/>
        <v>5</v>
      </c>
      <c r="D72" s="44">
        <v>36.184002943289741</v>
      </c>
      <c r="E72" s="36">
        <f t="shared" si="0"/>
        <v>8.8899999999999993E-2</v>
      </c>
      <c r="F72" s="36">
        <f t="shared" si="1"/>
        <v>150</v>
      </c>
      <c r="G72" s="37">
        <f t="shared" si="2"/>
        <v>0.01</v>
      </c>
      <c r="H72" s="37">
        <f t="shared" si="3"/>
        <v>1.6110410133795798</v>
      </c>
      <c r="I72" s="37">
        <f t="shared" si="4"/>
        <v>0.93855459448821099</v>
      </c>
      <c r="K72" s="36">
        <f t="shared" si="9"/>
        <v>5</v>
      </c>
      <c r="L72" s="40">
        <v>67.61</v>
      </c>
      <c r="M72" s="40">
        <v>1497.9290000000001</v>
      </c>
      <c r="N72" s="37">
        <f t="shared" si="5"/>
        <v>1503.9719668840139</v>
      </c>
      <c r="O72" s="37">
        <f t="shared" si="6"/>
        <v>6.042966884013822</v>
      </c>
      <c r="P72" s="36">
        <f t="shared" si="7"/>
        <v>1505.739</v>
      </c>
    </row>
    <row r="73" spans="3:16" ht="15.75" customHeight="1" x14ac:dyDescent="0.25">
      <c r="C73" s="36">
        <f t="shared" si="8"/>
        <v>6</v>
      </c>
      <c r="D73" s="44">
        <v>23.23553778159653</v>
      </c>
      <c r="E73" s="36">
        <f t="shared" si="0"/>
        <v>8.8899999999999993E-2</v>
      </c>
      <c r="F73" s="36">
        <f t="shared" si="1"/>
        <v>150</v>
      </c>
      <c r="G73" s="37">
        <f t="shared" si="2"/>
        <v>0.01</v>
      </c>
      <c r="H73" s="37">
        <f t="shared" si="3"/>
        <v>1.6110410133795798</v>
      </c>
      <c r="I73" s="37">
        <f t="shared" si="4"/>
        <v>0.60269232164558117</v>
      </c>
      <c r="K73" s="36">
        <f t="shared" si="9"/>
        <v>6</v>
      </c>
      <c r="L73" s="40">
        <v>103.72</v>
      </c>
      <c r="M73" s="40">
        <v>1495.616</v>
      </c>
      <c r="N73" s="37">
        <f t="shared" si="5"/>
        <v>1503.0334122895256</v>
      </c>
      <c r="O73" s="37">
        <f t="shared" si="6"/>
        <v>7.4174122895256005</v>
      </c>
      <c r="P73" s="36">
        <f t="shared" si="7"/>
        <v>1505.739</v>
      </c>
    </row>
    <row r="74" spans="3:16" ht="15.75" customHeight="1" x14ac:dyDescent="0.25">
      <c r="C74" s="36">
        <f t="shared" si="8"/>
        <v>7</v>
      </c>
      <c r="D74" s="44">
        <v>13.983413782049077</v>
      </c>
      <c r="E74" s="36">
        <f t="shared" si="0"/>
        <v>8.8899999999999993E-2</v>
      </c>
      <c r="F74" s="36">
        <f t="shared" si="1"/>
        <v>150</v>
      </c>
      <c r="G74" s="37">
        <f t="shared" si="2"/>
        <v>0.01</v>
      </c>
      <c r="H74" s="37">
        <f t="shared" si="3"/>
        <v>1.6110410133795798</v>
      </c>
      <c r="I74" s="37">
        <f t="shared" si="4"/>
        <v>0.36270716847832313</v>
      </c>
      <c r="K74" s="36">
        <f t="shared" si="9"/>
        <v>7</v>
      </c>
      <c r="L74" s="40">
        <v>126.91</v>
      </c>
      <c r="M74" s="40">
        <v>1494.162</v>
      </c>
      <c r="N74" s="37">
        <f t="shared" si="5"/>
        <v>1502.4307199678799</v>
      </c>
      <c r="O74" s="37">
        <f t="shared" si="6"/>
        <v>8.2687199678798606</v>
      </c>
      <c r="P74" s="36">
        <f t="shared" si="7"/>
        <v>1505.739</v>
      </c>
    </row>
    <row r="75" spans="3:16" ht="15.75" customHeight="1" x14ac:dyDescent="0.25">
      <c r="C75" s="36">
        <f t="shared" si="8"/>
        <v>8</v>
      </c>
      <c r="D75" s="44">
        <v>31.79240972307699</v>
      </c>
      <c r="E75" s="36">
        <f t="shared" si="0"/>
        <v>8.8899999999999993E-2</v>
      </c>
      <c r="F75" s="36">
        <f t="shared" si="1"/>
        <v>150</v>
      </c>
      <c r="G75" s="37">
        <f t="shared" si="2"/>
        <v>0.01</v>
      </c>
      <c r="H75" s="37">
        <f t="shared" si="3"/>
        <v>1.6110410133795798</v>
      </c>
      <c r="I75" s="37">
        <f t="shared" si="4"/>
        <v>0.82464375934888512</v>
      </c>
      <c r="K75" s="36">
        <f t="shared" si="9"/>
        <v>8</v>
      </c>
      <c r="L75" s="40">
        <v>140.82</v>
      </c>
      <c r="M75" s="40">
        <v>1492.731</v>
      </c>
      <c r="N75" s="37">
        <f t="shared" si="5"/>
        <v>1502.0680127994015</v>
      </c>
      <c r="O75" s="37">
        <f t="shared" si="6"/>
        <v>9.3370127994014638</v>
      </c>
      <c r="P75" s="36">
        <f t="shared" si="7"/>
        <v>1505.739</v>
      </c>
    </row>
    <row r="76" spans="3:16" ht="15.75" customHeight="1" x14ac:dyDescent="0.25">
      <c r="C76" s="36">
        <f t="shared" si="8"/>
        <v>9</v>
      </c>
      <c r="D76" s="44">
        <v>48.691644005927756</v>
      </c>
      <c r="E76" s="36">
        <f t="shared" si="0"/>
        <v>8.8899999999999993E-2</v>
      </c>
      <c r="F76" s="36">
        <f t="shared" si="1"/>
        <v>150</v>
      </c>
      <c r="G76" s="37">
        <f t="shared" si="2"/>
        <v>0.01</v>
      </c>
      <c r="H76" s="37">
        <f t="shared" si="3"/>
        <v>1.6110410133795798</v>
      </c>
      <c r="I76" s="37">
        <f t="shared" si="4"/>
        <v>1.2629826021894794</v>
      </c>
      <c r="K76" s="36">
        <f t="shared" si="9"/>
        <v>9</v>
      </c>
      <c r="L76" s="40">
        <v>172.3</v>
      </c>
      <c r="M76" s="40">
        <v>1488.2850000000001</v>
      </c>
      <c r="N76" s="37">
        <f t="shared" si="5"/>
        <v>1501.2433690400526</v>
      </c>
      <c r="O76" s="37">
        <f t="shared" si="6"/>
        <v>12.958369040052503</v>
      </c>
      <c r="P76" s="36">
        <f t="shared" si="7"/>
        <v>1505.739</v>
      </c>
    </row>
    <row r="77" spans="3:16" ht="15.75" customHeight="1" x14ac:dyDescent="0.25">
      <c r="C77" s="36">
        <f t="shared" si="8"/>
        <v>10</v>
      </c>
      <c r="D77" s="44">
        <v>9.0200035476711236</v>
      </c>
      <c r="E77" s="36">
        <f t="shared" si="0"/>
        <v>8.8899999999999993E-2</v>
      </c>
      <c r="F77" s="36">
        <f t="shared" si="1"/>
        <v>150</v>
      </c>
      <c r="G77" s="37">
        <f t="shared" si="2"/>
        <v>0.01</v>
      </c>
      <c r="H77" s="37">
        <f t="shared" si="3"/>
        <v>1.6110410133795798</v>
      </c>
      <c r="I77" s="37">
        <f t="shared" si="4"/>
        <v>0.23396432355024052</v>
      </c>
      <c r="K77" s="36">
        <f t="shared" si="9"/>
        <v>10</v>
      </c>
      <c r="L77" s="40">
        <v>220.9</v>
      </c>
      <c r="M77" s="40">
        <v>1485.299</v>
      </c>
      <c r="N77" s="37">
        <f t="shared" si="5"/>
        <v>1499.9803864378632</v>
      </c>
      <c r="O77" s="37">
        <f t="shared" si="6"/>
        <v>14.681386437863239</v>
      </c>
      <c r="P77" s="36">
        <f t="shared" si="7"/>
        <v>1505.739</v>
      </c>
    </row>
    <row r="78" spans="3:16" ht="15.75" customHeight="1" x14ac:dyDescent="0.25">
      <c r="C78" s="36">
        <f t="shared" si="8"/>
        <v>11</v>
      </c>
      <c r="D78" s="44">
        <v>43.897734292329957</v>
      </c>
      <c r="E78" s="36">
        <f t="shared" si="0"/>
        <v>8.8899999999999993E-2</v>
      </c>
      <c r="F78" s="36">
        <f t="shared" si="1"/>
        <v>150</v>
      </c>
      <c r="G78" s="37">
        <f t="shared" si="2"/>
        <v>0.01</v>
      </c>
      <c r="H78" s="37">
        <f t="shared" si="3"/>
        <v>1.6110410133795798</v>
      </c>
      <c r="I78" s="37">
        <f t="shared" si="4"/>
        <v>1.138636327005095</v>
      </c>
      <c r="K78" s="36">
        <f t="shared" si="9"/>
        <v>11</v>
      </c>
      <c r="L78" s="40">
        <v>229.92</v>
      </c>
      <c r="M78" s="40">
        <v>1485.307</v>
      </c>
      <c r="N78" s="37">
        <f t="shared" si="5"/>
        <v>1499.746422114313</v>
      </c>
      <c r="O78" s="37">
        <f t="shared" si="6"/>
        <v>14.439422114312947</v>
      </c>
      <c r="P78" s="36">
        <f t="shared" si="7"/>
        <v>1505.739</v>
      </c>
    </row>
    <row r="79" spans="3:16" ht="15.75" customHeight="1" x14ac:dyDescent="0.25">
      <c r="C79" s="36">
        <f t="shared" si="8"/>
        <v>12</v>
      </c>
      <c r="D79" s="44">
        <v>39.310001831594974</v>
      </c>
      <c r="E79" s="36">
        <f t="shared" si="0"/>
        <v>8.8899999999999993E-2</v>
      </c>
      <c r="F79" s="36">
        <f t="shared" si="1"/>
        <v>150</v>
      </c>
      <c r="G79" s="37">
        <f t="shared" si="2"/>
        <v>0.01</v>
      </c>
      <c r="H79" s="37">
        <f t="shared" si="3"/>
        <v>1.6110410133795798</v>
      </c>
      <c r="I79" s="37">
        <f t="shared" si="4"/>
        <v>1.0196379567569509</v>
      </c>
      <c r="K79" s="36">
        <f t="shared" si="9"/>
        <v>12</v>
      </c>
      <c r="L79" s="40">
        <v>273.81</v>
      </c>
      <c r="M79" s="40">
        <v>1486.1310000000001</v>
      </c>
      <c r="N79" s="37">
        <f t="shared" si="5"/>
        <v>1498.6077857873079</v>
      </c>
      <c r="O79" s="37">
        <f t="shared" si="6"/>
        <v>12.47678578730779</v>
      </c>
      <c r="P79" s="36">
        <f t="shared" si="7"/>
        <v>1505.739</v>
      </c>
    </row>
    <row r="80" spans="3:16" ht="15.75" customHeight="1" x14ac:dyDescent="0.25">
      <c r="C80" s="36">
        <f t="shared" si="8"/>
        <v>13</v>
      </c>
      <c r="D80" s="44">
        <v>75.028257883280219</v>
      </c>
      <c r="E80" s="36">
        <f t="shared" si="0"/>
        <v>8.8899999999999993E-2</v>
      </c>
      <c r="F80" s="36">
        <f t="shared" si="1"/>
        <v>150</v>
      </c>
      <c r="G80" s="37">
        <f t="shared" si="2"/>
        <v>0.01</v>
      </c>
      <c r="H80" s="37">
        <f t="shared" si="3"/>
        <v>1.6110410133795798</v>
      </c>
      <c r="I80" s="37">
        <f t="shared" si="4"/>
        <v>1.9461118291186161</v>
      </c>
      <c r="K80" s="36">
        <f t="shared" si="9"/>
        <v>13</v>
      </c>
      <c r="L80" s="40">
        <v>313.12</v>
      </c>
      <c r="M80" s="40">
        <v>1486.143</v>
      </c>
      <c r="N80" s="37">
        <f t="shared" si="5"/>
        <v>1497.588147830551</v>
      </c>
      <c r="O80" s="37">
        <f t="shared" si="6"/>
        <v>11.445147830550923</v>
      </c>
      <c r="P80" s="36">
        <f t="shared" si="7"/>
        <v>1505.739</v>
      </c>
    </row>
    <row r="81" spans="3:16" ht="15.75" customHeight="1" x14ac:dyDescent="0.25">
      <c r="C81" s="36">
        <f t="shared" si="8"/>
        <v>14</v>
      </c>
      <c r="D81" s="44">
        <v>92.183302479353614</v>
      </c>
      <c r="E81" s="36">
        <f t="shared" si="0"/>
        <v>8.8899999999999993E-2</v>
      </c>
      <c r="F81" s="36">
        <f t="shared" si="1"/>
        <v>150</v>
      </c>
      <c r="G81" s="37">
        <f t="shared" si="2"/>
        <v>0.01</v>
      </c>
      <c r="H81" s="37">
        <f t="shared" si="3"/>
        <v>1.6110410133795798</v>
      </c>
      <c r="I81" s="37">
        <f t="shared" si="4"/>
        <v>2.3910859783173506</v>
      </c>
      <c r="K81" s="36">
        <f t="shared" si="9"/>
        <v>14</v>
      </c>
      <c r="L81" s="40">
        <v>388.12</v>
      </c>
      <c r="M81" s="40">
        <v>1484.0840000000001</v>
      </c>
      <c r="N81" s="37">
        <f t="shared" si="5"/>
        <v>1495.6420360014324</v>
      </c>
      <c r="O81" s="37">
        <f t="shared" si="6"/>
        <v>11.558036001432356</v>
      </c>
      <c r="P81" s="36">
        <f t="shared" si="7"/>
        <v>1505.739</v>
      </c>
    </row>
    <row r="82" spans="3:16" ht="15.75" customHeight="1" x14ac:dyDescent="0.25">
      <c r="C82" s="36">
        <f t="shared" si="8"/>
        <v>15</v>
      </c>
      <c r="D82" s="44">
        <v>21.836666618327985</v>
      </c>
      <c r="E82" s="36">
        <f t="shared" si="0"/>
        <v>8.8899999999999993E-2</v>
      </c>
      <c r="F82" s="36">
        <f t="shared" si="1"/>
        <v>150</v>
      </c>
      <c r="G82" s="37">
        <f t="shared" si="2"/>
        <v>0.01</v>
      </c>
      <c r="H82" s="37">
        <f t="shared" si="3"/>
        <v>1.6110410133795798</v>
      </c>
      <c r="I82" s="37">
        <f t="shared" si="4"/>
        <v>0.56640786302886981</v>
      </c>
      <c r="K82" s="36">
        <f t="shared" si="9"/>
        <v>15</v>
      </c>
      <c r="L82" s="40">
        <v>480.29</v>
      </c>
      <c r="M82" s="40">
        <v>1482.518</v>
      </c>
      <c r="N82" s="37">
        <f t="shared" si="5"/>
        <v>1493.2509500231151</v>
      </c>
      <c r="O82" s="37">
        <f t="shared" si="6"/>
        <v>10.732950023115109</v>
      </c>
      <c r="P82" s="36">
        <f t="shared" si="7"/>
        <v>1505.739</v>
      </c>
    </row>
    <row r="83" spans="3:16" ht="15.75" customHeight="1" x14ac:dyDescent="0.25">
      <c r="C83" s="36">
        <f t="shared" si="8"/>
        <v>16</v>
      </c>
      <c r="D83" s="44">
        <v>36.403505724037096</v>
      </c>
      <c r="E83" s="36">
        <f t="shared" ref="E83:E127" si="10">+$D$63*0.0254</f>
        <v>8.8899999999999993E-2</v>
      </c>
      <c r="F83" s="36">
        <f t="shared" ref="F83:F127" si="11">$D$62</f>
        <v>150</v>
      </c>
      <c r="G83" s="37">
        <f t="shared" ref="G83:G127" si="12">+$D$64</f>
        <v>0.01</v>
      </c>
      <c r="H83" s="37">
        <f t="shared" ref="H83:H104" si="13">+G83/(PI()*E83^2/4)</f>
        <v>1.6110410133795798</v>
      </c>
      <c r="I83" s="37">
        <f t="shared" ref="I83:I104" si="14">10.67*G83^1.852*D83/F83^1.852/E83^4.871</f>
        <v>0.94424814209531927</v>
      </c>
      <c r="K83" s="36">
        <f t="shared" si="9"/>
        <v>16</v>
      </c>
      <c r="L83" s="40">
        <v>502.11</v>
      </c>
      <c r="M83" s="40">
        <v>1481.665</v>
      </c>
      <c r="N83" s="37">
        <f t="shared" si="5"/>
        <v>1492.6845421600863</v>
      </c>
      <c r="O83" s="37">
        <f t="shared" si="6"/>
        <v>11.019542160086303</v>
      </c>
      <c r="P83" s="36">
        <f t="shared" si="7"/>
        <v>1505.739</v>
      </c>
    </row>
    <row r="84" spans="3:16" ht="15.75" customHeight="1" x14ac:dyDescent="0.25">
      <c r="C84" s="36">
        <f t="shared" si="8"/>
        <v>17</v>
      </c>
      <c r="D84" s="44">
        <v>8.2743474062912945</v>
      </c>
      <c r="E84" s="36">
        <f t="shared" si="10"/>
        <v>8.8899999999999993E-2</v>
      </c>
      <c r="F84" s="36">
        <f t="shared" si="11"/>
        <v>150</v>
      </c>
      <c r="G84" s="37">
        <f t="shared" si="12"/>
        <v>0.01</v>
      </c>
      <c r="H84" s="37">
        <f t="shared" si="13"/>
        <v>1.6110410133795798</v>
      </c>
      <c r="I84" s="37">
        <f t="shared" si="14"/>
        <v>0.21462320757428754</v>
      </c>
      <c r="K84" s="36">
        <f t="shared" si="9"/>
        <v>17</v>
      </c>
      <c r="L84" s="40">
        <v>538.46</v>
      </c>
      <c r="M84" s="40">
        <v>1479.692</v>
      </c>
      <c r="N84" s="37">
        <f t="shared" ref="N84:N128" si="15">N83-I83</f>
        <v>1491.7402940179909</v>
      </c>
      <c r="O84" s="37">
        <f t="shared" ref="O84:O128" si="16">+N84-M84</f>
        <v>12.048294017990884</v>
      </c>
      <c r="P84" s="36">
        <f t="shared" si="7"/>
        <v>1505.739</v>
      </c>
    </row>
    <row r="85" spans="3:16" ht="15.75" customHeight="1" x14ac:dyDescent="0.25">
      <c r="C85" s="36">
        <f t="shared" si="8"/>
        <v>18</v>
      </c>
      <c r="D85" s="44">
        <v>70.361038764361624</v>
      </c>
      <c r="E85" s="36">
        <f t="shared" si="10"/>
        <v>8.8899999999999993E-2</v>
      </c>
      <c r="F85" s="36">
        <f t="shared" si="11"/>
        <v>150</v>
      </c>
      <c r="G85" s="37">
        <f t="shared" si="12"/>
        <v>0.01</v>
      </c>
      <c r="H85" s="37">
        <f t="shared" si="13"/>
        <v>1.6110410133795798</v>
      </c>
      <c r="I85" s="37">
        <f t="shared" si="14"/>
        <v>1.8250517033384579</v>
      </c>
      <c r="K85" s="36">
        <f t="shared" si="9"/>
        <v>18</v>
      </c>
      <c r="L85" s="40">
        <v>546.6</v>
      </c>
      <c r="M85" s="40">
        <v>1478.2070000000001</v>
      </c>
      <c r="N85" s="37">
        <f t="shared" si="15"/>
        <v>1491.5256708104166</v>
      </c>
      <c r="O85" s="37">
        <f t="shared" si="16"/>
        <v>13.318670810416506</v>
      </c>
      <c r="P85" s="36">
        <f t="shared" si="7"/>
        <v>1505.739</v>
      </c>
    </row>
    <row r="86" spans="3:16" ht="15.75" customHeight="1" x14ac:dyDescent="0.25">
      <c r="C86" s="36">
        <f t="shared" si="8"/>
        <v>19</v>
      </c>
      <c r="D86" s="44">
        <v>49.525701973823608</v>
      </c>
      <c r="E86" s="36">
        <f t="shared" si="10"/>
        <v>8.8899999999999993E-2</v>
      </c>
      <c r="F86" s="36">
        <f t="shared" si="11"/>
        <v>150</v>
      </c>
      <c r="G86" s="37">
        <f t="shared" si="12"/>
        <v>0.01</v>
      </c>
      <c r="H86" s="37">
        <f t="shared" si="13"/>
        <v>1.6110410133795798</v>
      </c>
      <c r="I86" s="37">
        <f t="shared" si="14"/>
        <v>1.2846167187648352</v>
      </c>
      <c r="K86" s="36">
        <f t="shared" si="9"/>
        <v>19</v>
      </c>
      <c r="L86" s="40">
        <v>616.88</v>
      </c>
      <c r="M86" s="40">
        <v>1474.8309999999999</v>
      </c>
      <c r="N86" s="37">
        <f t="shared" si="15"/>
        <v>1489.7006191070782</v>
      </c>
      <c r="O86" s="37">
        <f t="shared" si="16"/>
        <v>14.869619107078279</v>
      </c>
      <c r="P86" s="36">
        <f t="shared" si="7"/>
        <v>1505.739</v>
      </c>
    </row>
    <row r="87" spans="3:16" ht="15.75" customHeight="1" x14ac:dyDescent="0.25">
      <c r="C87" s="36">
        <f t="shared" si="8"/>
        <v>20</v>
      </c>
      <c r="D87" s="44">
        <v>8.7218762316373635</v>
      </c>
      <c r="E87" s="36">
        <f t="shared" si="10"/>
        <v>8.8899999999999993E-2</v>
      </c>
      <c r="F87" s="36">
        <f t="shared" si="11"/>
        <v>150</v>
      </c>
      <c r="G87" s="37">
        <f t="shared" si="12"/>
        <v>0.01</v>
      </c>
      <c r="H87" s="37">
        <f t="shared" si="13"/>
        <v>1.6110410133795798</v>
      </c>
      <c r="I87" s="37">
        <f t="shared" si="14"/>
        <v>0.22623138248663124</v>
      </c>
      <c r="K87" s="36">
        <f t="shared" si="9"/>
        <v>20</v>
      </c>
      <c r="L87" s="40">
        <v>666.3</v>
      </c>
      <c r="M87" s="40">
        <v>1471.597</v>
      </c>
      <c r="N87" s="37">
        <f t="shared" si="15"/>
        <v>1488.4160023883132</v>
      </c>
      <c r="O87" s="37">
        <f t="shared" si="16"/>
        <v>16.819002388313265</v>
      </c>
      <c r="P87" s="36">
        <f t="shared" si="7"/>
        <v>1505.739</v>
      </c>
    </row>
    <row r="88" spans="3:16" ht="15.75" customHeight="1" x14ac:dyDescent="0.25">
      <c r="C88" s="36">
        <f t="shared" si="8"/>
        <v>21</v>
      </c>
      <c r="D88" s="44">
        <v>38.371717045240501</v>
      </c>
      <c r="E88" s="36">
        <f t="shared" si="10"/>
        <v>8.8899999999999993E-2</v>
      </c>
      <c r="F88" s="36">
        <f t="shared" si="11"/>
        <v>150</v>
      </c>
      <c r="G88" s="37">
        <f t="shared" si="12"/>
        <v>0.01</v>
      </c>
      <c r="H88" s="37">
        <f t="shared" si="13"/>
        <v>1.6110410133795798</v>
      </c>
      <c r="I88" s="37">
        <f t="shared" si="14"/>
        <v>0.99530036485061679</v>
      </c>
      <c r="K88" s="36">
        <f t="shared" si="9"/>
        <v>21</v>
      </c>
      <c r="L88" s="40">
        <v>674.99</v>
      </c>
      <c r="M88" s="40">
        <v>1470.8520000000001</v>
      </c>
      <c r="N88" s="37">
        <f t="shared" si="15"/>
        <v>1488.1897710058265</v>
      </c>
      <c r="O88" s="37">
        <f t="shared" si="16"/>
        <v>17.337771005826426</v>
      </c>
      <c r="P88" s="36">
        <f t="shared" si="7"/>
        <v>1505.739</v>
      </c>
    </row>
    <row r="89" spans="3:16" ht="15.75" customHeight="1" x14ac:dyDescent="0.25">
      <c r="C89" s="36">
        <f t="shared" si="8"/>
        <v>22</v>
      </c>
      <c r="D89" s="44">
        <v>26.210233287782852</v>
      </c>
      <c r="E89" s="36">
        <f t="shared" si="10"/>
        <v>8.8899999999999993E-2</v>
      </c>
      <c r="F89" s="36">
        <f t="shared" si="11"/>
        <v>150</v>
      </c>
      <c r="G89" s="37">
        <f t="shared" si="12"/>
        <v>0.01</v>
      </c>
      <c r="H89" s="37">
        <f t="shared" si="13"/>
        <v>1.6110410133795798</v>
      </c>
      <c r="I89" s="37">
        <f t="shared" si="14"/>
        <v>0.67985111855675495</v>
      </c>
      <c r="K89" s="36">
        <f t="shared" si="9"/>
        <v>22</v>
      </c>
      <c r="L89" s="40">
        <v>713.36</v>
      </c>
      <c r="M89" s="40">
        <v>1470.489</v>
      </c>
      <c r="N89" s="37">
        <f t="shared" si="15"/>
        <v>1487.1944706409759</v>
      </c>
      <c r="O89" s="37">
        <f t="shared" si="16"/>
        <v>16.705470640975818</v>
      </c>
      <c r="P89" s="36">
        <f t="shared" si="7"/>
        <v>1505.739</v>
      </c>
    </row>
    <row r="90" spans="3:16" ht="15.75" customHeight="1" x14ac:dyDescent="0.25">
      <c r="C90" s="36">
        <f t="shared" si="8"/>
        <v>23</v>
      </c>
      <c r="D90" s="44">
        <v>54.499098120978154</v>
      </c>
      <c r="E90" s="36">
        <f t="shared" si="10"/>
        <v>8.8899999999999993E-2</v>
      </c>
      <c r="F90" s="36">
        <f t="shared" si="11"/>
        <v>150</v>
      </c>
      <c r="G90" s="37">
        <f t="shared" si="12"/>
        <v>0.01</v>
      </c>
      <c r="H90" s="37">
        <f t="shared" si="13"/>
        <v>1.6110410133795798</v>
      </c>
      <c r="I90" s="37">
        <f t="shared" si="14"/>
        <v>1.4136185821417975</v>
      </c>
      <c r="K90" s="36">
        <f t="shared" si="9"/>
        <v>23</v>
      </c>
      <c r="L90" s="40">
        <v>739.48</v>
      </c>
      <c r="M90" s="40">
        <v>1468.316</v>
      </c>
      <c r="N90" s="37">
        <f t="shared" si="15"/>
        <v>1486.514619522419</v>
      </c>
      <c r="O90" s="37">
        <f t="shared" si="16"/>
        <v>18.198619522418994</v>
      </c>
      <c r="P90" s="36">
        <f t="shared" si="7"/>
        <v>1505.739</v>
      </c>
    </row>
    <row r="91" spans="3:16" ht="15.75" customHeight="1" x14ac:dyDescent="0.25">
      <c r="C91" s="36">
        <f t="shared" si="8"/>
        <v>24</v>
      </c>
      <c r="D91" s="44">
        <v>75.182370333742426</v>
      </c>
      <c r="E91" s="36">
        <f t="shared" si="10"/>
        <v>8.8899999999999993E-2</v>
      </c>
      <c r="F91" s="36">
        <f t="shared" si="11"/>
        <v>150</v>
      </c>
      <c r="G91" s="37">
        <f t="shared" si="12"/>
        <v>0.01</v>
      </c>
      <c r="H91" s="37">
        <f t="shared" si="13"/>
        <v>1.6110410133795798</v>
      </c>
      <c r="I91" s="37">
        <f t="shared" si="14"/>
        <v>1.9501092571719973</v>
      </c>
      <c r="K91" s="36">
        <f t="shared" si="9"/>
        <v>24</v>
      </c>
      <c r="L91" s="40">
        <v>793.94</v>
      </c>
      <c r="M91" s="40">
        <v>1466.252</v>
      </c>
      <c r="N91" s="37">
        <f t="shared" si="15"/>
        <v>1485.1010009402771</v>
      </c>
      <c r="O91" s="37">
        <f t="shared" si="16"/>
        <v>18.849000940277165</v>
      </c>
      <c r="P91" s="36">
        <f t="shared" si="7"/>
        <v>1505.739</v>
      </c>
    </row>
    <row r="92" spans="3:16" ht="15.75" customHeight="1" x14ac:dyDescent="0.25">
      <c r="C92" s="36">
        <f t="shared" si="8"/>
        <v>25</v>
      </c>
      <c r="D92" s="44">
        <v>80.294490003984649</v>
      </c>
      <c r="E92" s="36">
        <f t="shared" si="10"/>
        <v>8.8899999999999993E-2</v>
      </c>
      <c r="F92" s="36">
        <f t="shared" si="11"/>
        <v>150</v>
      </c>
      <c r="G92" s="37">
        <f t="shared" si="12"/>
        <v>0.01</v>
      </c>
      <c r="H92" s="37">
        <f t="shared" si="13"/>
        <v>1.6110410133795798</v>
      </c>
      <c r="I92" s="37">
        <f t="shared" si="14"/>
        <v>2.0827093846813609</v>
      </c>
      <c r="K92" s="36">
        <f t="shared" si="9"/>
        <v>25</v>
      </c>
      <c r="L92" s="40">
        <v>869.12</v>
      </c>
      <c r="M92" s="40">
        <v>1465.655</v>
      </c>
      <c r="N92" s="37">
        <f t="shared" si="15"/>
        <v>1483.1508916831051</v>
      </c>
      <c r="O92" s="37">
        <f t="shared" si="16"/>
        <v>17.495891683105128</v>
      </c>
      <c r="P92" s="36">
        <f t="shared" si="7"/>
        <v>1505.739</v>
      </c>
    </row>
    <row r="93" spans="3:16" ht="15.75" customHeight="1" x14ac:dyDescent="0.25">
      <c r="C93" s="36">
        <f t="shared" si="8"/>
        <v>26</v>
      </c>
      <c r="D93" s="44">
        <v>65.166382007903522</v>
      </c>
      <c r="E93" s="36">
        <f t="shared" si="10"/>
        <v>8.8899999999999993E-2</v>
      </c>
      <c r="F93" s="36">
        <f t="shared" si="11"/>
        <v>150</v>
      </c>
      <c r="G93" s="37">
        <f t="shared" si="12"/>
        <v>0.01</v>
      </c>
      <c r="H93" s="37">
        <f t="shared" si="13"/>
        <v>1.6110410133795798</v>
      </c>
      <c r="I93" s="37">
        <f t="shared" si="14"/>
        <v>1.6903106971207609</v>
      </c>
      <c r="K93" s="36">
        <f t="shared" si="9"/>
        <v>26</v>
      </c>
      <c r="L93" s="40">
        <v>949.31</v>
      </c>
      <c r="M93" s="40">
        <v>1461.56</v>
      </c>
      <c r="N93" s="37">
        <f t="shared" si="15"/>
        <v>1481.0681822984238</v>
      </c>
      <c r="O93" s="37">
        <f t="shared" si="16"/>
        <v>19.50818229842389</v>
      </c>
      <c r="P93" s="36">
        <f t="shared" si="7"/>
        <v>1505.739</v>
      </c>
    </row>
    <row r="94" spans="3:16" ht="15.75" customHeight="1" x14ac:dyDescent="0.25">
      <c r="C94" s="36">
        <f t="shared" si="8"/>
        <v>27</v>
      </c>
      <c r="D94" s="44">
        <v>36.587552528148144</v>
      </c>
      <c r="E94" s="36">
        <f t="shared" si="10"/>
        <v>8.8899999999999993E-2</v>
      </c>
      <c r="F94" s="36">
        <f t="shared" si="11"/>
        <v>150</v>
      </c>
      <c r="G94" s="37">
        <f t="shared" si="12"/>
        <v>0.01</v>
      </c>
      <c r="H94" s="37">
        <f t="shared" si="13"/>
        <v>1.6110410133795798</v>
      </c>
      <c r="I94" s="37">
        <f t="shared" si="14"/>
        <v>0.94902201893448568</v>
      </c>
      <c r="K94" s="36">
        <f>+K93+1</f>
        <v>27</v>
      </c>
      <c r="L94" s="40">
        <v>1014.47</v>
      </c>
      <c r="M94" s="40">
        <v>1460.6479999999999</v>
      </c>
      <c r="N94" s="37">
        <f t="shared" si="15"/>
        <v>1479.377871601303</v>
      </c>
      <c r="O94" s="37">
        <f t="shared" si="16"/>
        <v>18.729871601303103</v>
      </c>
      <c r="P94" s="36">
        <f t="shared" si="7"/>
        <v>1505.739</v>
      </c>
    </row>
    <row r="95" spans="3:16" ht="15.75" customHeight="1" x14ac:dyDescent="0.25">
      <c r="C95" s="36">
        <f t="shared" si="8"/>
        <v>28</v>
      </c>
      <c r="D95" s="44">
        <v>106.30918816828586</v>
      </c>
      <c r="E95" s="36">
        <f t="shared" si="10"/>
        <v>8.8899999999999993E-2</v>
      </c>
      <c r="F95" s="36">
        <f t="shared" si="11"/>
        <v>150</v>
      </c>
      <c r="G95" s="37">
        <f t="shared" si="12"/>
        <v>0.01</v>
      </c>
      <c r="H95" s="37">
        <f t="shared" si="13"/>
        <v>1.6110410133795798</v>
      </c>
      <c r="I95" s="37">
        <f t="shared" si="14"/>
        <v>2.7574886379496033</v>
      </c>
      <c r="K95" s="36">
        <f t="shared" si="9"/>
        <v>28</v>
      </c>
      <c r="L95" s="40">
        <v>1050.96</v>
      </c>
      <c r="M95" s="40">
        <v>1457.9780000000001</v>
      </c>
      <c r="N95" s="37">
        <f t="shared" si="15"/>
        <v>1478.4288495823685</v>
      </c>
      <c r="O95" s="37">
        <f t="shared" si="16"/>
        <v>20.450849582368392</v>
      </c>
      <c r="P95" s="36">
        <f>+$M$68</f>
        <v>1505.739</v>
      </c>
    </row>
    <row r="96" spans="3:16" ht="15.75" customHeight="1" x14ac:dyDescent="0.25">
      <c r="C96" s="36">
        <f t="shared" si="8"/>
        <v>29</v>
      </c>
      <c r="D96" s="44">
        <v>107.33514610322182</v>
      </c>
      <c r="E96" s="36">
        <f t="shared" si="10"/>
        <v>8.8899999999999993E-2</v>
      </c>
      <c r="F96" s="36">
        <f t="shared" si="11"/>
        <v>150</v>
      </c>
      <c r="G96" s="37">
        <f t="shared" si="12"/>
        <v>0.01</v>
      </c>
      <c r="H96" s="37">
        <f t="shared" si="13"/>
        <v>1.6110410133795798</v>
      </c>
      <c r="I96" s="37">
        <f t="shared" si="14"/>
        <v>2.7841003297266278</v>
      </c>
      <c r="K96" s="36">
        <f t="shared" si="9"/>
        <v>29</v>
      </c>
      <c r="L96" s="40">
        <v>1157.1600000000001</v>
      </c>
      <c r="M96" s="40">
        <v>1453.1610000000001</v>
      </c>
      <c r="N96" s="37">
        <f t="shared" si="15"/>
        <v>1475.6713609444189</v>
      </c>
      <c r="O96" s="37">
        <f t="shared" si="16"/>
        <v>22.510360944418835</v>
      </c>
      <c r="P96" s="36">
        <f t="shared" si="7"/>
        <v>1505.739</v>
      </c>
    </row>
    <row r="97" spans="3:16" ht="15.75" customHeight="1" x14ac:dyDescent="0.25">
      <c r="C97" s="36">
        <f t="shared" si="8"/>
        <v>30</v>
      </c>
      <c r="D97" s="44">
        <v>10.265083000151527</v>
      </c>
      <c r="E97" s="36">
        <f t="shared" si="10"/>
        <v>8.8899999999999993E-2</v>
      </c>
      <c r="F97" s="36">
        <f t="shared" si="11"/>
        <v>150</v>
      </c>
      <c r="G97" s="37">
        <f t="shared" si="12"/>
        <v>0.01</v>
      </c>
      <c r="H97" s="37">
        <f t="shared" si="13"/>
        <v>1.6110410133795798</v>
      </c>
      <c r="I97" s="37">
        <f t="shared" si="14"/>
        <v>0.2662596735826796</v>
      </c>
      <c r="K97" s="36">
        <f t="shared" si="9"/>
        <v>30</v>
      </c>
      <c r="L97" s="40">
        <v>1264.29</v>
      </c>
      <c r="M97" s="40">
        <v>1446.528</v>
      </c>
      <c r="N97" s="37">
        <f t="shared" si="15"/>
        <v>1472.8872606146922</v>
      </c>
      <c r="O97" s="37">
        <f t="shared" si="16"/>
        <v>26.359260614692175</v>
      </c>
      <c r="P97" s="36">
        <f t="shared" si="7"/>
        <v>1505.739</v>
      </c>
    </row>
    <row r="98" spans="3:16" ht="15.75" customHeight="1" x14ac:dyDescent="0.25">
      <c r="C98" s="36">
        <f t="shared" si="8"/>
        <v>31</v>
      </c>
      <c r="D98" s="44">
        <v>95.206753379158997</v>
      </c>
      <c r="E98" s="36">
        <f t="shared" si="10"/>
        <v>8.8899999999999993E-2</v>
      </c>
      <c r="F98" s="36">
        <f t="shared" si="11"/>
        <v>150</v>
      </c>
      <c r="G98" s="37">
        <f t="shared" si="12"/>
        <v>0.01</v>
      </c>
      <c r="H98" s="37">
        <f t="shared" si="13"/>
        <v>1.6110410133795798</v>
      </c>
      <c r="I98" s="37">
        <f t="shared" si="14"/>
        <v>2.4695094113927141</v>
      </c>
      <c r="K98" s="36">
        <f t="shared" si="9"/>
        <v>31</v>
      </c>
      <c r="L98" s="40">
        <v>1274.55</v>
      </c>
      <c r="M98" s="40">
        <v>1446.8510000000001</v>
      </c>
      <c r="N98" s="37">
        <f t="shared" si="15"/>
        <v>1472.6210009411095</v>
      </c>
      <c r="O98" s="37">
        <f t="shared" si="16"/>
        <v>25.770000941109402</v>
      </c>
      <c r="P98" s="36">
        <f t="shared" si="7"/>
        <v>1505.739</v>
      </c>
    </row>
    <row r="99" spans="3:16" ht="15.75" customHeight="1" x14ac:dyDescent="0.25">
      <c r="C99" s="36">
        <f t="shared" si="8"/>
        <v>32</v>
      </c>
      <c r="D99" s="44">
        <v>65.039929305004634</v>
      </c>
      <c r="E99" s="36">
        <f t="shared" si="10"/>
        <v>8.8899999999999993E-2</v>
      </c>
      <c r="F99" s="36">
        <f t="shared" si="11"/>
        <v>150</v>
      </c>
      <c r="G99" s="37">
        <f t="shared" si="12"/>
        <v>0.01</v>
      </c>
      <c r="H99" s="37">
        <f t="shared" si="13"/>
        <v>1.6110410133795798</v>
      </c>
      <c r="I99" s="37">
        <f t="shared" si="14"/>
        <v>1.6870307182450901</v>
      </c>
      <c r="K99" s="36">
        <f t="shared" si="9"/>
        <v>32</v>
      </c>
      <c r="L99" s="40">
        <v>1369.53</v>
      </c>
      <c r="M99" s="40">
        <v>1440.2840000000001</v>
      </c>
      <c r="N99" s="37">
        <f t="shared" si="15"/>
        <v>1470.1514915297168</v>
      </c>
      <c r="O99" s="37">
        <f t="shared" si="16"/>
        <v>29.867491529716744</v>
      </c>
      <c r="P99" s="36">
        <f t="shared" si="7"/>
        <v>1505.739</v>
      </c>
    </row>
    <row r="100" spans="3:16" ht="15.75" customHeight="1" x14ac:dyDescent="0.25">
      <c r="C100" s="36">
        <f t="shared" si="8"/>
        <v>33</v>
      </c>
      <c r="D100" s="44">
        <v>20.611996240054101</v>
      </c>
      <c r="E100" s="36">
        <f t="shared" si="10"/>
        <v>8.8899999999999993E-2</v>
      </c>
      <c r="F100" s="36">
        <f t="shared" si="11"/>
        <v>150</v>
      </c>
      <c r="G100" s="37">
        <f t="shared" si="12"/>
        <v>0.01</v>
      </c>
      <c r="H100" s="37">
        <f t="shared" si="13"/>
        <v>1.6110410133795798</v>
      </c>
      <c r="I100" s="37">
        <f t="shared" si="14"/>
        <v>0.53464189141804419</v>
      </c>
      <c r="K100" s="36">
        <f t="shared" si="9"/>
        <v>33</v>
      </c>
      <c r="L100" s="40">
        <v>1434.52</v>
      </c>
      <c r="M100" s="40">
        <v>1437.7360000000001</v>
      </c>
      <c r="N100" s="37">
        <f t="shared" si="15"/>
        <v>1468.4644608114718</v>
      </c>
      <c r="O100" s="37">
        <f t="shared" si="16"/>
        <v>30.728460811471678</v>
      </c>
      <c r="P100" s="36">
        <f t="shared" si="7"/>
        <v>1505.739</v>
      </c>
    </row>
    <row r="101" spans="3:16" ht="15.75" customHeight="1" x14ac:dyDescent="0.25">
      <c r="C101" s="36">
        <f t="shared" si="8"/>
        <v>34</v>
      </c>
      <c r="D101" s="44">
        <v>69.453053273416231</v>
      </c>
      <c r="E101" s="36">
        <f t="shared" si="10"/>
        <v>8.8899999999999993E-2</v>
      </c>
      <c r="F101" s="36">
        <f t="shared" si="11"/>
        <v>150</v>
      </c>
      <c r="G101" s="37">
        <f t="shared" si="12"/>
        <v>0.01</v>
      </c>
      <c r="H101" s="37">
        <f t="shared" si="13"/>
        <v>1.6110410133795798</v>
      </c>
      <c r="I101" s="37">
        <f t="shared" si="14"/>
        <v>1.8015000262177412</v>
      </c>
      <c r="K101" s="36">
        <f t="shared" si="9"/>
        <v>34</v>
      </c>
      <c r="L101" s="40">
        <v>1454.91</v>
      </c>
      <c r="M101" s="40">
        <v>1434.7190000000001</v>
      </c>
      <c r="N101" s="37">
        <f t="shared" si="15"/>
        <v>1467.9298189200538</v>
      </c>
      <c r="O101" s="37">
        <f t="shared" si="16"/>
        <v>33.210818920053725</v>
      </c>
      <c r="P101" s="36">
        <f t="shared" si="7"/>
        <v>1505.739</v>
      </c>
    </row>
    <row r="102" spans="3:16" ht="15.75" customHeight="1" x14ac:dyDescent="0.25">
      <c r="C102" s="36">
        <f t="shared" si="8"/>
        <v>35</v>
      </c>
      <c r="D102" s="44">
        <v>180.23738595530054</v>
      </c>
      <c r="E102" s="36">
        <f t="shared" si="10"/>
        <v>8.8899999999999993E-2</v>
      </c>
      <c r="F102" s="36">
        <f t="shared" si="11"/>
        <v>150</v>
      </c>
      <c r="G102" s="37">
        <f t="shared" si="12"/>
        <v>0.01</v>
      </c>
      <c r="H102" s="37">
        <f t="shared" si="13"/>
        <v>1.6110410133795798</v>
      </c>
      <c r="I102" s="37">
        <f t="shared" si="14"/>
        <v>4.675066684910913</v>
      </c>
      <c r="K102" s="36">
        <f t="shared" si="9"/>
        <v>35</v>
      </c>
      <c r="L102" s="40">
        <v>1524.23</v>
      </c>
      <c r="M102" s="40">
        <v>1430.422</v>
      </c>
      <c r="N102" s="37">
        <f t="shared" si="15"/>
        <v>1466.128318893836</v>
      </c>
      <c r="O102" s="37">
        <f t="shared" si="16"/>
        <v>35.706318893835942</v>
      </c>
      <c r="P102" s="36">
        <f t="shared" si="7"/>
        <v>1505.739</v>
      </c>
    </row>
    <row r="103" spans="3:16" ht="15.75" customHeight="1" x14ac:dyDescent="0.25">
      <c r="C103" s="36">
        <f t="shared" si="8"/>
        <v>36</v>
      </c>
      <c r="D103" s="44">
        <v>103.32993355751293</v>
      </c>
      <c r="E103" s="36">
        <f t="shared" si="10"/>
        <v>8.8899999999999993E-2</v>
      </c>
      <c r="F103" s="36">
        <f t="shared" si="11"/>
        <v>150</v>
      </c>
      <c r="G103" s="37">
        <f t="shared" si="12"/>
        <v>0.01</v>
      </c>
      <c r="H103" s="37">
        <f t="shared" si="13"/>
        <v>1.6110410133795798</v>
      </c>
      <c r="I103" s="37">
        <f t="shared" si="14"/>
        <v>2.6802115852289985</v>
      </c>
      <c r="K103" s="36">
        <f t="shared" si="9"/>
        <v>36</v>
      </c>
      <c r="L103" s="40">
        <v>1704.33</v>
      </c>
      <c r="M103" s="40">
        <v>1423.386</v>
      </c>
      <c r="N103" s="37">
        <f t="shared" si="15"/>
        <v>1461.4532522089251</v>
      </c>
      <c r="O103" s="37">
        <f t="shared" si="16"/>
        <v>38.067252208925083</v>
      </c>
      <c r="P103" s="36">
        <f t="shared" si="7"/>
        <v>1505.739</v>
      </c>
    </row>
    <row r="104" spans="3:16" ht="15.75" customHeight="1" x14ac:dyDescent="0.25">
      <c r="C104" s="36">
        <f t="shared" si="8"/>
        <v>37</v>
      </c>
      <c r="D104" s="44">
        <v>23.27972562123513</v>
      </c>
      <c r="E104" s="36">
        <f>+$D$63*0.0254</f>
        <v>8.8899999999999993E-2</v>
      </c>
      <c r="F104" s="36">
        <f>$D$62</f>
        <v>150</v>
      </c>
      <c r="G104" s="37">
        <f>+$D$64</f>
        <v>0.01</v>
      </c>
      <c r="H104" s="37">
        <f t="shared" si="13"/>
        <v>1.6110410133795798</v>
      </c>
      <c r="I104" s="37">
        <f t="shared" si="14"/>
        <v>0.60383848283671082</v>
      </c>
      <c r="K104" s="36">
        <f t="shared" si="9"/>
        <v>37</v>
      </c>
      <c r="L104" s="40">
        <v>1807.63</v>
      </c>
      <c r="M104" s="40">
        <v>1420.8989999999999</v>
      </c>
      <c r="N104" s="37">
        <f t="shared" si="15"/>
        <v>1458.773040623696</v>
      </c>
      <c r="O104" s="37">
        <f t="shared" si="16"/>
        <v>37.874040623696146</v>
      </c>
      <c r="P104" s="36">
        <f t="shared" si="7"/>
        <v>1505.739</v>
      </c>
    </row>
    <row r="105" spans="3:16" ht="15.75" customHeight="1" x14ac:dyDescent="0.25">
      <c r="C105" s="36">
        <f t="shared" si="8"/>
        <v>38</v>
      </c>
      <c r="D105" s="44">
        <v>40.51384485580212</v>
      </c>
      <c r="E105" s="36">
        <f t="shared" si="10"/>
        <v>8.8899999999999993E-2</v>
      </c>
      <c r="F105" s="36">
        <f t="shared" si="11"/>
        <v>150</v>
      </c>
      <c r="G105" s="37">
        <f t="shared" si="12"/>
        <v>0.01</v>
      </c>
      <c r="H105" s="37">
        <f t="shared" ref="H105:H127" si="17">+G105/(PI()*E105^2/4)</f>
        <v>1.6110410133795798</v>
      </c>
      <c r="I105" s="37">
        <f t="shared" ref="I105:I127" si="18">10.67*G105^1.852*D105/F105^1.852/E105^4.871</f>
        <v>1.0508637004421653</v>
      </c>
      <c r="K105" s="36">
        <f t="shared" si="9"/>
        <v>38</v>
      </c>
      <c r="L105" s="40">
        <v>1830.83</v>
      </c>
      <c r="M105" s="40">
        <v>1418.9739999999999</v>
      </c>
      <c r="N105" s="37">
        <f t="shared" si="15"/>
        <v>1458.1692021408594</v>
      </c>
      <c r="O105" s="37">
        <f t="shared" si="16"/>
        <v>39.195202140859465</v>
      </c>
      <c r="P105" s="36">
        <f t="shared" si="7"/>
        <v>1505.739</v>
      </c>
    </row>
    <row r="106" spans="3:16" ht="15.75" customHeight="1" x14ac:dyDescent="0.25">
      <c r="C106" s="36">
        <f t="shared" si="8"/>
        <v>39</v>
      </c>
      <c r="D106" s="44">
        <v>40.801487423867258</v>
      </c>
      <c r="E106" s="36">
        <f t="shared" si="10"/>
        <v>8.8899999999999993E-2</v>
      </c>
      <c r="F106" s="36">
        <f t="shared" si="11"/>
        <v>150</v>
      </c>
      <c r="G106" s="37">
        <f t="shared" si="12"/>
        <v>0.01</v>
      </c>
      <c r="H106" s="37">
        <f t="shared" si="17"/>
        <v>1.6110410133795798</v>
      </c>
      <c r="I106" s="37">
        <f t="shared" si="18"/>
        <v>1.058324684077697</v>
      </c>
      <c r="K106" s="36">
        <f t="shared" si="9"/>
        <v>39</v>
      </c>
      <c r="L106" s="40">
        <v>1871.27</v>
      </c>
      <c r="M106" s="40">
        <v>1416.529</v>
      </c>
      <c r="N106" s="37">
        <f t="shared" si="15"/>
        <v>1457.1183384404171</v>
      </c>
      <c r="O106" s="37">
        <f t="shared" si="16"/>
        <v>40.589338440417123</v>
      </c>
      <c r="P106" s="36">
        <f t="shared" si="7"/>
        <v>1505.739</v>
      </c>
    </row>
    <row r="107" spans="3:16" ht="15.75" customHeight="1" x14ac:dyDescent="0.25">
      <c r="C107" s="36">
        <f t="shared" si="8"/>
        <v>40</v>
      </c>
      <c r="D107" s="44">
        <v>58.183368250729636</v>
      </c>
      <c r="E107" s="36">
        <f t="shared" si="10"/>
        <v>8.8899999999999993E-2</v>
      </c>
      <c r="F107" s="36">
        <f t="shared" si="11"/>
        <v>150</v>
      </c>
      <c r="G107" s="37">
        <f t="shared" si="12"/>
        <v>0.01</v>
      </c>
      <c r="H107" s="37">
        <f t="shared" si="17"/>
        <v>1.6110410133795798</v>
      </c>
      <c r="I107" s="37">
        <f t="shared" si="18"/>
        <v>1.5091825987331458</v>
      </c>
      <c r="K107" s="36">
        <f t="shared" si="9"/>
        <v>40</v>
      </c>
      <c r="L107" s="40">
        <v>1912.05</v>
      </c>
      <c r="M107" s="40">
        <v>1415.2049999999999</v>
      </c>
      <c r="N107" s="37">
        <f t="shared" si="15"/>
        <v>1456.0600137563395</v>
      </c>
      <c r="O107" s="37">
        <f t="shared" si="16"/>
        <v>40.855013756339531</v>
      </c>
      <c r="P107" s="36">
        <f t="shared" si="7"/>
        <v>1505.739</v>
      </c>
    </row>
    <row r="108" spans="3:16" ht="15.75" customHeight="1" x14ac:dyDescent="0.25">
      <c r="C108" s="36">
        <f t="shared" si="8"/>
        <v>41</v>
      </c>
      <c r="D108" s="44">
        <v>23.891933785275722</v>
      </c>
      <c r="E108" s="36">
        <f t="shared" si="10"/>
        <v>8.8899999999999993E-2</v>
      </c>
      <c r="F108" s="36">
        <f t="shared" si="11"/>
        <v>150</v>
      </c>
      <c r="G108" s="37">
        <f t="shared" si="12"/>
        <v>0.01</v>
      </c>
      <c r="H108" s="37">
        <f t="shared" si="17"/>
        <v>1.6110410133795798</v>
      </c>
      <c r="I108" s="37">
        <f t="shared" si="18"/>
        <v>0.61971817381628624</v>
      </c>
      <c r="K108" s="36">
        <f t="shared" si="9"/>
        <v>41</v>
      </c>
      <c r="L108" s="40">
        <v>1970.16</v>
      </c>
      <c r="M108" s="40">
        <v>1412.2840000000001</v>
      </c>
      <c r="N108" s="37">
        <f t="shared" si="15"/>
        <v>1454.5508311576064</v>
      </c>
      <c r="O108" s="37">
        <f t="shared" si="16"/>
        <v>42.266831157606248</v>
      </c>
      <c r="P108" s="36">
        <f t="shared" si="7"/>
        <v>1505.739</v>
      </c>
    </row>
    <row r="109" spans="3:16" ht="15.75" customHeight="1" x14ac:dyDescent="0.25">
      <c r="C109" s="36">
        <f t="shared" si="8"/>
        <v>42</v>
      </c>
      <c r="D109" s="44">
        <v>55.045579559125144</v>
      </c>
      <c r="E109" s="36">
        <f t="shared" si="10"/>
        <v>8.8899999999999993E-2</v>
      </c>
      <c r="F109" s="36">
        <f t="shared" si="11"/>
        <v>150</v>
      </c>
      <c r="G109" s="37">
        <f t="shared" si="12"/>
        <v>0.01</v>
      </c>
      <c r="H109" s="37">
        <f t="shared" si="17"/>
        <v>1.6110410133795798</v>
      </c>
      <c r="I109" s="37">
        <f t="shared" si="18"/>
        <v>1.4277934280088855</v>
      </c>
      <c r="K109" s="36">
        <f t="shared" si="9"/>
        <v>42</v>
      </c>
      <c r="L109" s="40">
        <v>1993.94</v>
      </c>
      <c r="M109" s="40">
        <v>1409.9739999999999</v>
      </c>
      <c r="N109" s="37">
        <f t="shared" si="15"/>
        <v>1453.9311129837902</v>
      </c>
      <c r="O109" s="37">
        <f t="shared" si="16"/>
        <v>43.957112983790239</v>
      </c>
      <c r="P109" s="36">
        <f t="shared" si="7"/>
        <v>1505.739</v>
      </c>
    </row>
    <row r="110" spans="3:16" ht="15.75" customHeight="1" x14ac:dyDescent="0.25">
      <c r="C110" s="36">
        <f t="shared" si="8"/>
        <v>43</v>
      </c>
      <c r="D110" s="44">
        <v>36.359670020504836</v>
      </c>
      <c r="E110" s="36">
        <f t="shared" si="10"/>
        <v>8.8899999999999993E-2</v>
      </c>
      <c r="F110" s="36">
        <f t="shared" si="11"/>
        <v>150</v>
      </c>
      <c r="G110" s="37">
        <f t="shared" si="12"/>
        <v>0.01</v>
      </c>
      <c r="H110" s="37">
        <f t="shared" si="17"/>
        <v>1.6110410133795798</v>
      </c>
      <c r="I110" s="37">
        <f t="shared" si="18"/>
        <v>0.9431111147460427</v>
      </c>
      <c r="K110" s="36">
        <f t="shared" si="9"/>
        <v>43</v>
      </c>
      <c r="L110" s="40">
        <v>2048.9299999999998</v>
      </c>
      <c r="M110" s="40">
        <v>1407.501</v>
      </c>
      <c r="N110" s="37">
        <f t="shared" si="15"/>
        <v>1452.5033195557812</v>
      </c>
      <c r="O110" s="37">
        <f t="shared" si="16"/>
        <v>45.002319555781241</v>
      </c>
      <c r="P110" s="36">
        <f t="shared" si="7"/>
        <v>1505.739</v>
      </c>
    </row>
    <row r="111" spans="3:16" ht="15.75" customHeight="1" x14ac:dyDescent="0.25">
      <c r="C111" s="36">
        <f t="shared" si="8"/>
        <v>44</v>
      </c>
      <c r="D111" s="44">
        <v>16.310226730490694</v>
      </c>
      <c r="E111" s="36">
        <f t="shared" si="10"/>
        <v>8.8899999999999993E-2</v>
      </c>
      <c r="F111" s="36">
        <f t="shared" si="11"/>
        <v>150</v>
      </c>
      <c r="G111" s="37">
        <f t="shared" si="12"/>
        <v>0.01</v>
      </c>
      <c r="H111" s="37">
        <f t="shared" si="17"/>
        <v>1.6110410133795798</v>
      </c>
      <c r="I111" s="37">
        <f t="shared" si="18"/>
        <v>0.42306093825601243</v>
      </c>
      <c r="K111" s="36">
        <f t="shared" si="9"/>
        <v>44</v>
      </c>
      <c r="L111" s="40">
        <v>2085.1999999999998</v>
      </c>
      <c r="M111" s="40">
        <v>1404.9490000000001</v>
      </c>
      <c r="N111" s="37">
        <f t="shared" si="15"/>
        <v>1451.5602084410352</v>
      </c>
      <c r="O111" s="37">
        <f t="shared" si="16"/>
        <v>46.61120844103516</v>
      </c>
      <c r="P111" s="36">
        <f t="shared" si="7"/>
        <v>1505.739</v>
      </c>
    </row>
    <row r="112" spans="3:16" ht="15.75" customHeight="1" x14ac:dyDescent="0.25">
      <c r="C112" s="36">
        <f t="shared" si="8"/>
        <v>45</v>
      </c>
      <c r="D112" s="44">
        <v>23.657664741051356</v>
      </c>
      <c r="E112" s="36">
        <f t="shared" si="10"/>
        <v>8.8899999999999993E-2</v>
      </c>
      <c r="F112" s="36">
        <f t="shared" si="11"/>
        <v>150</v>
      </c>
      <c r="G112" s="37">
        <f t="shared" si="12"/>
        <v>0.01</v>
      </c>
      <c r="H112" s="37">
        <f t="shared" si="17"/>
        <v>1.6110410133795798</v>
      </c>
      <c r="I112" s="37">
        <f t="shared" si="18"/>
        <v>0.613641613184016</v>
      </c>
      <c r="K112" s="36">
        <f t="shared" si="9"/>
        <v>45</v>
      </c>
      <c r="L112" s="40">
        <v>2101.5100000000002</v>
      </c>
      <c r="M112" s="40">
        <v>1404.8630000000001</v>
      </c>
      <c r="N112" s="37">
        <f t="shared" si="15"/>
        <v>1451.1371475027793</v>
      </c>
      <c r="O112" s="37">
        <f t="shared" si="16"/>
        <v>46.274147502779215</v>
      </c>
      <c r="P112" s="36">
        <f t="shared" si="7"/>
        <v>1505.739</v>
      </c>
    </row>
    <row r="113" spans="3:16" ht="15.75" customHeight="1" x14ac:dyDescent="0.25">
      <c r="C113" s="36">
        <f t="shared" si="8"/>
        <v>46</v>
      </c>
      <c r="D113" s="44">
        <v>25.543602741195262</v>
      </c>
      <c r="E113" s="36">
        <f t="shared" si="10"/>
        <v>8.8899999999999993E-2</v>
      </c>
      <c r="F113" s="36">
        <f t="shared" si="11"/>
        <v>150</v>
      </c>
      <c r="G113" s="37">
        <f t="shared" si="12"/>
        <v>0.01</v>
      </c>
      <c r="H113" s="37">
        <f t="shared" si="17"/>
        <v>1.6110410133795798</v>
      </c>
      <c r="I113" s="37">
        <f t="shared" si="18"/>
        <v>0.66255979887312111</v>
      </c>
      <c r="K113" s="36">
        <f t="shared" si="9"/>
        <v>46</v>
      </c>
      <c r="L113" s="40">
        <v>2125.12</v>
      </c>
      <c r="M113" s="40">
        <v>1403.3620000000001</v>
      </c>
      <c r="N113" s="37">
        <f t="shared" si="15"/>
        <v>1450.5235058895953</v>
      </c>
      <c r="O113" s="37">
        <f t="shared" si="16"/>
        <v>47.161505889595219</v>
      </c>
      <c r="P113" s="36">
        <f t="shared" si="7"/>
        <v>1505.739</v>
      </c>
    </row>
    <row r="114" spans="3:16" ht="15.75" customHeight="1" x14ac:dyDescent="0.25">
      <c r="C114" s="36">
        <f t="shared" si="8"/>
        <v>47</v>
      </c>
      <c r="D114" s="44">
        <v>31.378700435167985</v>
      </c>
      <c r="E114" s="36">
        <f t="shared" si="10"/>
        <v>8.8899999999999993E-2</v>
      </c>
      <c r="F114" s="36">
        <f t="shared" si="11"/>
        <v>150</v>
      </c>
      <c r="G114" s="37">
        <f t="shared" si="12"/>
        <v>0.01</v>
      </c>
      <c r="H114" s="37">
        <f t="shared" si="17"/>
        <v>1.6110410133795798</v>
      </c>
      <c r="I114" s="37">
        <f t="shared" si="18"/>
        <v>0.81391280861471704</v>
      </c>
      <c r="K114" s="36">
        <f t="shared" si="9"/>
        <v>47</v>
      </c>
      <c r="L114" s="40">
        <v>2150.66</v>
      </c>
      <c r="M114" s="40">
        <v>1403.7909999999999</v>
      </c>
      <c r="N114" s="37">
        <f t="shared" si="15"/>
        <v>1449.8609460907221</v>
      </c>
      <c r="O114" s="37">
        <f t="shared" si="16"/>
        <v>46.069946090722169</v>
      </c>
      <c r="P114" s="36">
        <f t="shared" si="7"/>
        <v>1505.739</v>
      </c>
    </row>
    <row r="115" spans="3:16" ht="15.75" customHeight="1" x14ac:dyDescent="0.25">
      <c r="C115" s="36">
        <f t="shared" si="8"/>
        <v>48</v>
      </c>
      <c r="D115" s="44">
        <v>57.394689684673715</v>
      </c>
      <c r="E115" s="36">
        <f t="shared" si="10"/>
        <v>8.8899999999999993E-2</v>
      </c>
      <c r="F115" s="36">
        <f t="shared" si="11"/>
        <v>150</v>
      </c>
      <c r="G115" s="37">
        <f t="shared" si="12"/>
        <v>0.01</v>
      </c>
      <c r="H115" s="37">
        <f t="shared" si="17"/>
        <v>1.6110410133795798</v>
      </c>
      <c r="I115" s="37">
        <f t="shared" si="18"/>
        <v>1.4887255505478942</v>
      </c>
      <c r="K115" s="36">
        <f t="shared" si="9"/>
        <v>48</v>
      </c>
      <c r="L115" s="40">
        <v>2181.96</v>
      </c>
      <c r="M115" s="40">
        <v>1401.57</v>
      </c>
      <c r="N115" s="37">
        <f t="shared" si="15"/>
        <v>1449.0470332821073</v>
      </c>
      <c r="O115" s="37">
        <f t="shared" si="16"/>
        <v>47.477033282107413</v>
      </c>
      <c r="P115" s="36">
        <f t="shared" si="7"/>
        <v>1505.739</v>
      </c>
    </row>
    <row r="116" spans="3:16" ht="15.75" customHeight="1" x14ac:dyDescent="0.25">
      <c r="C116" s="36">
        <f t="shared" si="8"/>
        <v>49</v>
      </c>
      <c r="D116" s="44">
        <v>60.726321311273303</v>
      </c>
      <c r="E116" s="36">
        <f t="shared" si="10"/>
        <v>8.8899999999999993E-2</v>
      </c>
      <c r="F116" s="36">
        <f t="shared" si="11"/>
        <v>150</v>
      </c>
      <c r="G116" s="37">
        <f t="shared" si="12"/>
        <v>0.01</v>
      </c>
      <c r="H116" s="37">
        <f t="shared" si="17"/>
        <v>1.6110410133795798</v>
      </c>
      <c r="I116" s="37">
        <f t="shared" si="18"/>
        <v>1.5751426939244306</v>
      </c>
      <c r="K116" s="36">
        <f t="shared" si="9"/>
        <v>49</v>
      </c>
      <c r="L116" s="40">
        <v>2239.04</v>
      </c>
      <c r="M116" s="40">
        <v>1395.568</v>
      </c>
      <c r="N116" s="37">
        <f t="shared" si="15"/>
        <v>1447.5583077315594</v>
      </c>
      <c r="O116" s="37">
        <f t="shared" si="16"/>
        <v>51.990307731559369</v>
      </c>
      <c r="P116" s="36">
        <f t="shared" si="7"/>
        <v>1505.739</v>
      </c>
    </row>
    <row r="117" spans="3:16" ht="15.75" customHeight="1" x14ac:dyDescent="0.25">
      <c r="C117" s="36">
        <f t="shared" si="8"/>
        <v>50</v>
      </c>
      <c r="D117" s="44">
        <v>27.134614351414662</v>
      </c>
      <c r="E117" s="36">
        <f t="shared" si="10"/>
        <v>8.8899999999999993E-2</v>
      </c>
      <c r="F117" s="36">
        <f t="shared" si="11"/>
        <v>150</v>
      </c>
      <c r="G117" s="37">
        <f t="shared" si="12"/>
        <v>0.01</v>
      </c>
      <c r="H117" s="37">
        <f t="shared" si="17"/>
        <v>1.6110410133795798</v>
      </c>
      <c r="I117" s="37">
        <f t="shared" si="18"/>
        <v>0.70382807035197992</v>
      </c>
      <c r="K117" s="36">
        <f t="shared" si="9"/>
        <v>50</v>
      </c>
      <c r="L117" s="40">
        <v>2299.73</v>
      </c>
      <c r="M117" s="40">
        <v>1393.4680000000001</v>
      </c>
      <c r="N117" s="37">
        <f t="shared" si="15"/>
        <v>1445.983165037635</v>
      </c>
      <c r="O117" s="37">
        <f t="shared" si="16"/>
        <v>52.515165037634915</v>
      </c>
      <c r="P117" s="36">
        <f t="shared" si="7"/>
        <v>1505.739</v>
      </c>
    </row>
    <row r="118" spans="3:16" ht="15.75" customHeight="1" x14ac:dyDescent="0.25">
      <c r="C118" s="36">
        <f t="shared" si="8"/>
        <v>51</v>
      </c>
      <c r="D118" s="44">
        <v>59.343804697710326</v>
      </c>
      <c r="E118" s="36">
        <f t="shared" si="10"/>
        <v>8.8899999999999993E-2</v>
      </c>
      <c r="F118" s="36">
        <f t="shared" si="11"/>
        <v>150</v>
      </c>
      <c r="G118" s="37">
        <f t="shared" si="12"/>
        <v>0.01</v>
      </c>
      <c r="H118" s="37">
        <f t="shared" si="17"/>
        <v>1.6110410133795798</v>
      </c>
      <c r="I118" s="37">
        <f t="shared" si="18"/>
        <v>1.5392824459123611</v>
      </c>
      <c r="K118" s="36">
        <f t="shared" si="9"/>
        <v>51</v>
      </c>
      <c r="L118" s="40">
        <v>2326.77</v>
      </c>
      <c r="M118" s="40">
        <v>1391.204</v>
      </c>
      <c r="N118" s="37">
        <f t="shared" si="15"/>
        <v>1445.2793369672829</v>
      </c>
      <c r="O118" s="37">
        <f t="shared" si="16"/>
        <v>54.075336967282965</v>
      </c>
      <c r="P118" s="36">
        <f>+$M$68</f>
        <v>1505.739</v>
      </c>
    </row>
    <row r="119" spans="3:16" ht="15.75" customHeight="1" x14ac:dyDescent="0.25">
      <c r="C119" s="36">
        <f t="shared" si="8"/>
        <v>52</v>
      </c>
      <c r="D119" s="44">
        <v>23.282285111217362</v>
      </c>
      <c r="E119" s="36">
        <f t="shared" si="10"/>
        <v>8.8899999999999993E-2</v>
      </c>
      <c r="F119" s="36">
        <f t="shared" si="11"/>
        <v>150</v>
      </c>
      <c r="G119" s="37">
        <f t="shared" si="12"/>
        <v>0.01</v>
      </c>
      <c r="H119" s="37">
        <f t="shared" si="17"/>
        <v>1.6110410133795798</v>
      </c>
      <c r="I119" s="37">
        <f t="shared" si="18"/>
        <v>0.6039048718729414</v>
      </c>
      <c r="K119" s="36">
        <f>+K118+1</f>
        <v>52</v>
      </c>
      <c r="L119" s="40">
        <v>2385.64</v>
      </c>
      <c r="M119" s="40">
        <v>1383.72</v>
      </c>
      <c r="N119" s="37">
        <f t="shared" si="15"/>
        <v>1443.7400545213707</v>
      </c>
      <c r="O119" s="37">
        <f t="shared" si="16"/>
        <v>60.020054521370639</v>
      </c>
      <c r="P119" s="36">
        <f t="shared" si="7"/>
        <v>1505.739</v>
      </c>
    </row>
    <row r="120" spans="3:16" ht="15.75" customHeight="1" x14ac:dyDescent="0.25">
      <c r="C120" s="36">
        <f t="shared" si="8"/>
        <v>53</v>
      </c>
      <c r="D120" s="44">
        <v>49.301029492293225</v>
      </c>
      <c r="E120" s="36">
        <f t="shared" si="10"/>
        <v>8.8899999999999993E-2</v>
      </c>
      <c r="F120" s="36">
        <f t="shared" si="11"/>
        <v>150</v>
      </c>
      <c r="G120" s="37">
        <f t="shared" si="12"/>
        <v>0.01</v>
      </c>
      <c r="H120" s="37">
        <f t="shared" si="17"/>
        <v>1.6110410133795798</v>
      </c>
      <c r="I120" s="37">
        <f t="shared" si="18"/>
        <v>1.278789077469153</v>
      </c>
      <c r="K120" s="36">
        <f t="shared" si="9"/>
        <v>53</v>
      </c>
      <c r="L120" s="40">
        <v>2408.8200000000002</v>
      </c>
      <c r="M120" s="40">
        <v>1381.54</v>
      </c>
      <c r="N120" s="37">
        <f t="shared" si="15"/>
        <v>1443.1361496494978</v>
      </c>
      <c r="O120" s="37">
        <f t="shared" si="16"/>
        <v>61.596149649497875</v>
      </c>
      <c r="P120" s="36">
        <f t="shared" si="7"/>
        <v>1505.739</v>
      </c>
    </row>
    <row r="121" spans="3:16" ht="15.75" customHeight="1" x14ac:dyDescent="0.25">
      <c r="C121" s="36">
        <f t="shared" si="8"/>
        <v>54</v>
      </c>
      <c r="D121" s="44">
        <v>68.98002355030043</v>
      </c>
      <c r="E121" s="36">
        <f>+$D$63*0.0254</f>
        <v>8.8899999999999993E-2</v>
      </c>
      <c r="F121" s="36">
        <f>$D$62</f>
        <v>150</v>
      </c>
      <c r="G121" s="37">
        <f>+$D$64</f>
        <v>0.01</v>
      </c>
      <c r="H121" s="37">
        <f t="shared" si="17"/>
        <v>1.6110410133795798</v>
      </c>
      <c r="I121" s="37">
        <f t="shared" si="18"/>
        <v>1.78923039920451</v>
      </c>
      <c r="K121" s="36">
        <f t="shared" si="9"/>
        <v>54</v>
      </c>
      <c r="L121" s="40">
        <v>2457.9499999999998</v>
      </c>
      <c r="M121" s="40">
        <v>1377.4369999999999</v>
      </c>
      <c r="N121" s="37">
        <f t="shared" si="15"/>
        <v>1441.8573605720287</v>
      </c>
      <c r="O121" s="37">
        <f t="shared" si="16"/>
        <v>64.420360572028812</v>
      </c>
      <c r="P121" s="36">
        <f t="shared" si="7"/>
        <v>1505.739</v>
      </c>
    </row>
    <row r="122" spans="3:16" ht="15.75" customHeight="1" x14ac:dyDescent="0.25">
      <c r="C122" s="36">
        <f t="shared" si="8"/>
        <v>55</v>
      </c>
      <c r="D122" s="44">
        <v>88.613044350140967</v>
      </c>
      <c r="E122" s="36">
        <f t="shared" si="10"/>
        <v>8.8899999999999993E-2</v>
      </c>
      <c r="F122" s="36">
        <f t="shared" si="11"/>
        <v>150</v>
      </c>
      <c r="G122" s="37">
        <f t="shared" si="12"/>
        <v>0.01</v>
      </c>
      <c r="H122" s="37">
        <f t="shared" si="17"/>
        <v>1.6110410133795798</v>
      </c>
      <c r="I122" s="37">
        <f t="shared" si="18"/>
        <v>2.2984792488758021</v>
      </c>
      <c r="K122" s="36">
        <f t="shared" si="9"/>
        <v>55</v>
      </c>
      <c r="L122" s="40">
        <v>2526.9299999999998</v>
      </c>
      <c r="M122" s="40">
        <v>1377.38</v>
      </c>
      <c r="N122" s="37">
        <f t="shared" si="15"/>
        <v>1440.0681301728241</v>
      </c>
      <c r="O122" s="37">
        <f t="shared" si="16"/>
        <v>62.688130172824003</v>
      </c>
      <c r="P122" s="36">
        <f t="shared" si="7"/>
        <v>1505.739</v>
      </c>
    </row>
    <row r="123" spans="3:16" ht="15.75" customHeight="1" x14ac:dyDescent="0.25">
      <c r="C123" s="36">
        <f t="shared" si="8"/>
        <v>56</v>
      </c>
      <c r="D123" s="44">
        <v>79.200590805877098</v>
      </c>
      <c r="E123" s="36">
        <f t="shared" si="10"/>
        <v>8.8899999999999993E-2</v>
      </c>
      <c r="F123" s="36">
        <f t="shared" si="11"/>
        <v>150</v>
      </c>
      <c r="G123" s="37">
        <f t="shared" si="12"/>
        <v>0.01</v>
      </c>
      <c r="H123" s="37">
        <f t="shared" si="17"/>
        <v>1.6110410133795798</v>
      </c>
      <c r="I123" s="37">
        <f t="shared" si="18"/>
        <v>2.0543354062716226</v>
      </c>
      <c r="K123" s="36">
        <f t="shared" si="9"/>
        <v>56</v>
      </c>
      <c r="L123" s="40">
        <v>2615.38</v>
      </c>
      <c r="M123" s="40">
        <v>1372.0070000000001</v>
      </c>
      <c r="N123" s="37">
        <f t="shared" si="15"/>
        <v>1437.7696509239483</v>
      </c>
      <c r="O123" s="37">
        <f t="shared" si="16"/>
        <v>65.762650923948286</v>
      </c>
      <c r="P123" s="36">
        <f t="shared" si="7"/>
        <v>1505.739</v>
      </c>
    </row>
    <row r="124" spans="3:16" ht="15.75" customHeight="1" x14ac:dyDescent="0.25">
      <c r="C124" s="36">
        <f t="shared" si="8"/>
        <v>57</v>
      </c>
      <c r="D124" s="44">
        <v>76.284892763901723</v>
      </c>
      <c r="E124" s="36">
        <f t="shared" si="10"/>
        <v>8.8899999999999993E-2</v>
      </c>
      <c r="F124" s="36">
        <f t="shared" si="11"/>
        <v>150</v>
      </c>
      <c r="G124" s="37">
        <f t="shared" si="12"/>
        <v>0.01</v>
      </c>
      <c r="H124" s="37">
        <f t="shared" si="17"/>
        <v>1.6110410133795798</v>
      </c>
      <c r="I124" s="37">
        <f t="shared" si="18"/>
        <v>1.9787069082935194</v>
      </c>
      <c r="K124" s="36">
        <f t="shared" si="9"/>
        <v>57</v>
      </c>
      <c r="L124" s="40">
        <v>2694.5</v>
      </c>
      <c r="M124" s="40">
        <v>1368.4349999999999</v>
      </c>
      <c r="N124" s="37">
        <f t="shared" si="15"/>
        <v>1435.7153155176768</v>
      </c>
      <c r="O124" s="37">
        <f t="shared" si="16"/>
        <v>67.280315517676854</v>
      </c>
      <c r="P124" s="36">
        <f t="shared" si="7"/>
        <v>1505.739</v>
      </c>
    </row>
    <row r="125" spans="3:16" ht="15.75" customHeight="1" x14ac:dyDescent="0.25">
      <c r="C125" s="36">
        <f t="shared" si="8"/>
        <v>58</v>
      </c>
      <c r="D125" s="44">
        <v>9.441512643639312</v>
      </c>
      <c r="E125" s="36">
        <f t="shared" si="10"/>
        <v>8.8899999999999993E-2</v>
      </c>
      <c r="F125" s="36">
        <f t="shared" si="11"/>
        <v>150</v>
      </c>
      <c r="G125" s="37">
        <f t="shared" si="12"/>
        <v>0.01</v>
      </c>
      <c r="H125" s="37">
        <f t="shared" si="17"/>
        <v>1.6110410133795798</v>
      </c>
      <c r="I125" s="37">
        <f t="shared" si="18"/>
        <v>0.24489758870776174</v>
      </c>
      <c r="K125" s="36">
        <f t="shared" si="9"/>
        <v>58</v>
      </c>
      <c r="L125" s="40">
        <v>2770.6</v>
      </c>
      <c r="M125" s="40">
        <v>1363.127</v>
      </c>
      <c r="N125" s="37">
        <f t="shared" si="15"/>
        <v>1433.7366086093832</v>
      </c>
      <c r="O125" s="37">
        <f t="shared" si="16"/>
        <v>70.609608609383258</v>
      </c>
      <c r="P125" s="36">
        <f t="shared" si="7"/>
        <v>1505.739</v>
      </c>
    </row>
    <row r="126" spans="3:16" ht="15.75" customHeight="1" x14ac:dyDescent="0.25">
      <c r="C126" s="36">
        <f t="shared" si="8"/>
        <v>59</v>
      </c>
      <c r="D126" s="44">
        <v>8.5824726040925245</v>
      </c>
      <c r="E126" s="36">
        <f t="shared" si="10"/>
        <v>8.8899999999999993E-2</v>
      </c>
      <c r="F126" s="36">
        <f t="shared" si="11"/>
        <v>150</v>
      </c>
      <c r="G126" s="37">
        <f t="shared" si="12"/>
        <v>0.01</v>
      </c>
      <c r="H126" s="37">
        <f t="shared" si="17"/>
        <v>1.6110410133795798</v>
      </c>
      <c r="I126" s="37">
        <f t="shared" si="18"/>
        <v>0.22261547754306843</v>
      </c>
      <c r="K126" s="36">
        <f t="shared" si="9"/>
        <v>59</v>
      </c>
      <c r="L126" s="40">
        <v>2780.04</v>
      </c>
      <c r="M126" s="40">
        <v>1362.9580000000001</v>
      </c>
      <c r="N126" s="37">
        <f t="shared" si="15"/>
        <v>1433.4917110206754</v>
      </c>
      <c r="O126" s="37">
        <f t="shared" si="16"/>
        <v>70.533711020675355</v>
      </c>
      <c r="P126" s="36">
        <f t="shared" si="7"/>
        <v>1505.739</v>
      </c>
    </row>
    <row r="127" spans="3:16" ht="15.75" customHeight="1" x14ac:dyDescent="0.25">
      <c r="C127" s="36">
        <f t="shared" si="8"/>
        <v>60</v>
      </c>
      <c r="D127" s="44">
        <v>144.03575524500843</v>
      </c>
      <c r="E127" s="36">
        <f t="shared" si="10"/>
        <v>8.8899999999999993E-2</v>
      </c>
      <c r="F127" s="36">
        <f t="shared" si="11"/>
        <v>150</v>
      </c>
      <c r="G127" s="37">
        <f t="shared" si="12"/>
        <v>0.01</v>
      </c>
      <c r="H127" s="37">
        <f t="shared" si="17"/>
        <v>1.6110410133795798</v>
      </c>
      <c r="I127" s="37">
        <f t="shared" si="18"/>
        <v>3.7360548546177914</v>
      </c>
      <c r="K127" s="36">
        <f t="shared" si="9"/>
        <v>60</v>
      </c>
      <c r="L127" s="40">
        <v>2788.62</v>
      </c>
      <c r="M127" s="40">
        <v>1363.164</v>
      </c>
      <c r="N127" s="37">
        <f t="shared" si="15"/>
        <v>1433.2690955431324</v>
      </c>
      <c r="O127" s="37">
        <f t="shared" si="16"/>
        <v>70.105095543132393</v>
      </c>
      <c r="P127" s="36">
        <f t="shared" si="7"/>
        <v>1505.739</v>
      </c>
    </row>
    <row r="128" spans="3:16" ht="15.75" customHeight="1" x14ac:dyDescent="0.25">
      <c r="K128" s="36">
        <f t="shared" si="9"/>
        <v>61</v>
      </c>
      <c r="L128" s="40">
        <v>2929.99</v>
      </c>
      <c r="M128" s="40">
        <v>1390.7470000000001</v>
      </c>
      <c r="N128" s="37">
        <f t="shared" si="15"/>
        <v>1429.5330406885146</v>
      </c>
      <c r="O128" s="37">
        <f t="shared" si="16"/>
        <v>38.786040688514504</v>
      </c>
      <c r="P128" s="36">
        <f t="shared" si="7"/>
        <v>1505.739</v>
      </c>
    </row>
    <row r="129" spans="14:14" ht="15.75" customHeight="1" x14ac:dyDescent="0.25">
      <c r="N129" s="38">
        <f>+N128-M128</f>
        <v>38.786040688514504</v>
      </c>
    </row>
  </sheetData>
  <mergeCells count="5">
    <mergeCell ref="C4:C5"/>
    <mergeCell ref="C19:C22"/>
    <mergeCell ref="C34:C35"/>
    <mergeCell ref="C36:C37"/>
    <mergeCell ref="C42:C43"/>
  </mergeCells>
  <conditionalFormatting sqref="F51">
    <cfRule type="expression" dxfId="5" priority="1">
      <formula>$D$51&lt;=$D$15</formula>
    </cfRule>
    <cfRule type="expression" dxfId="4" priority="2">
      <formula>$D$51&gt;$D$15</formula>
    </cfRule>
  </conditionalFormatting>
  <hyperlinks>
    <hyperlink ref="E24" r:id="rId1" xr:uid="{2AE528CE-7387-43A2-940B-D3A502C6E343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5FEA7-B487-4422-AECD-37532DCFEF87}">
  <sheetPr>
    <outlinePr summaryBelow="0" summaryRight="0"/>
  </sheetPr>
  <dimension ref="B2:P127"/>
  <sheetViews>
    <sheetView showGridLines="0" topLeftCell="A28" zoomScaleNormal="100" workbookViewId="0"/>
  </sheetViews>
  <sheetFormatPr baseColWidth="10" defaultColWidth="12.5703125" defaultRowHeight="15.75" customHeight="1" x14ac:dyDescent="0.25"/>
  <cols>
    <col min="1" max="1" width="9.140625" customWidth="1"/>
    <col min="2" max="2" width="5.85546875" style="48" customWidth="1"/>
  </cols>
  <sheetData>
    <row r="2" spans="2:5" ht="15.75" customHeight="1" x14ac:dyDescent="0.25">
      <c r="B2" s="47" t="s">
        <v>80</v>
      </c>
    </row>
    <row r="4" spans="2:5" ht="15.75" customHeight="1" x14ac:dyDescent="0.25">
      <c r="C4" s="103" t="s">
        <v>63</v>
      </c>
      <c r="D4" s="45">
        <v>5.36</v>
      </c>
      <c r="E4" s="13" t="s">
        <v>59</v>
      </c>
    </row>
    <row r="5" spans="2:5" ht="15.75" customHeight="1" x14ac:dyDescent="0.25">
      <c r="C5" s="103"/>
      <c r="D5" s="46">
        <f>D4/1000</f>
        <v>5.3600000000000002E-3</v>
      </c>
      <c r="E5" s="13" t="s">
        <v>81</v>
      </c>
    </row>
    <row r="7" spans="2:5" ht="15.75" customHeight="1" x14ac:dyDescent="0.25">
      <c r="B7" s="48" t="s">
        <v>123</v>
      </c>
    </row>
    <row r="9" spans="2:5" ht="15.75" customHeight="1" x14ac:dyDescent="0.25">
      <c r="C9" s="32" t="s">
        <v>122</v>
      </c>
    </row>
    <row r="10" spans="2:5" ht="15.75" customHeight="1" x14ac:dyDescent="0.25">
      <c r="C10" s="30" t="s">
        <v>119</v>
      </c>
      <c r="D10" s="40">
        <v>1481.059</v>
      </c>
      <c r="E10" s="25" t="s">
        <v>121</v>
      </c>
    </row>
    <row r="11" spans="2:5" ht="15.75" customHeight="1" x14ac:dyDescent="0.25">
      <c r="C11" s="30" t="s">
        <v>120</v>
      </c>
      <c r="D11" s="40">
        <v>1390.9829999999999</v>
      </c>
      <c r="E11" s="25" t="s">
        <v>121</v>
      </c>
    </row>
    <row r="13" spans="2:5" ht="15.75" customHeight="1" x14ac:dyDescent="0.25">
      <c r="C13" s="41" t="s">
        <v>126</v>
      </c>
    </row>
    <row r="14" spans="2:5" ht="15.75" customHeight="1" x14ac:dyDescent="0.25">
      <c r="C14" s="30" t="s">
        <v>125</v>
      </c>
      <c r="D14" s="49">
        <f>+D10-D11</f>
        <v>90.076000000000022</v>
      </c>
      <c r="E14" s="25" t="s">
        <v>92</v>
      </c>
    </row>
    <row r="16" spans="2:5" ht="15.75" customHeight="1" x14ac:dyDescent="0.25">
      <c r="B16" s="48" t="s">
        <v>124</v>
      </c>
    </row>
    <row r="18" spans="2:5" ht="15.75" customHeight="1" x14ac:dyDescent="0.25">
      <c r="C18" s="103" t="s">
        <v>127</v>
      </c>
      <c r="D18" s="50">
        <f>1.2*D14</f>
        <v>108.09120000000003</v>
      </c>
      <c r="E18" s="25" t="s">
        <v>137</v>
      </c>
    </row>
    <row r="19" spans="2:5" ht="15.75" customHeight="1" x14ac:dyDescent="0.25">
      <c r="C19" s="103"/>
      <c r="D19" s="49">
        <f>D18/10</f>
        <v>10.809120000000004</v>
      </c>
      <c r="E19" s="25" t="s">
        <v>128</v>
      </c>
    </row>
    <row r="20" spans="2:5" ht="15.75" customHeight="1" x14ac:dyDescent="0.25">
      <c r="C20" s="103"/>
      <c r="D20" s="49">
        <f>+D19*14.223</f>
        <v>153.73811376000006</v>
      </c>
      <c r="E20" s="25" t="s">
        <v>129</v>
      </c>
    </row>
    <row r="21" spans="2:5" ht="15.75" customHeight="1" x14ac:dyDescent="0.25">
      <c r="C21" s="103"/>
      <c r="D21" s="49">
        <f>+D19*1.02</f>
        <v>11.025302400000005</v>
      </c>
      <c r="E21" s="25" t="s">
        <v>130</v>
      </c>
    </row>
    <row r="23" spans="2:5" ht="15.75" customHeight="1" x14ac:dyDescent="0.25">
      <c r="C23" s="32" t="s">
        <v>131</v>
      </c>
      <c r="E23" s="54" t="s">
        <v>144</v>
      </c>
    </row>
    <row r="24" spans="2:5" ht="15.75" customHeight="1" x14ac:dyDescent="0.25">
      <c r="C24" s="30" t="s">
        <v>132</v>
      </c>
      <c r="D24" s="40" t="s">
        <v>134</v>
      </c>
    </row>
    <row r="26" spans="2:5" ht="15.75" customHeight="1" x14ac:dyDescent="0.25">
      <c r="B26" s="47" t="s">
        <v>133</v>
      </c>
    </row>
    <row r="28" spans="2:5" ht="15.75" customHeight="1" x14ac:dyDescent="0.25">
      <c r="C28" s="32" t="s">
        <v>116</v>
      </c>
    </row>
    <row r="29" spans="2:5" ht="15.75" customHeight="1" x14ac:dyDescent="0.25">
      <c r="C29" s="30" t="s">
        <v>82</v>
      </c>
      <c r="D29" s="24">
        <v>0.6</v>
      </c>
      <c r="E29" s="25" t="s">
        <v>83</v>
      </c>
    </row>
    <row r="30" spans="2:5" ht="15.75" customHeight="1" x14ac:dyDescent="0.25">
      <c r="C30" s="30" t="s">
        <v>84</v>
      </c>
      <c r="D30" s="29">
        <v>3</v>
      </c>
      <c r="E30" s="25" t="s">
        <v>85</v>
      </c>
    </row>
    <row r="32" spans="2:5" ht="15.75" customHeight="1" x14ac:dyDescent="0.25">
      <c r="C32" s="32" t="s">
        <v>117</v>
      </c>
    </row>
    <row r="33" spans="2:5" ht="15.75" customHeight="1" x14ac:dyDescent="0.25">
      <c r="C33" s="104" t="s">
        <v>86</v>
      </c>
      <c r="D33" s="31">
        <f>1/0.0254*SQRT(4*$D$5/(PI()*D29))</f>
        <v>4.1988282678723445</v>
      </c>
      <c r="E33" s="25" t="s">
        <v>87</v>
      </c>
    </row>
    <row r="34" spans="2:5" ht="15.75" customHeight="1" x14ac:dyDescent="0.25">
      <c r="C34" s="95"/>
      <c r="D34" s="24">
        <f>D33*25.4</f>
        <v>106.65023800395754</v>
      </c>
      <c r="E34" s="25" t="s">
        <v>88</v>
      </c>
    </row>
    <row r="35" spans="2:5" ht="15.75" customHeight="1" x14ac:dyDescent="0.25">
      <c r="C35" s="104" t="s">
        <v>89</v>
      </c>
      <c r="D35" s="31">
        <f>1/0.0254*SQRT(4*$D$5/(PI()*D30))</f>
        <v>1.8777730865620514</v>
      </c>
      <c r="E35" s="25" t="s">
        <v>87</v>
      </c>
    </row>
    <row r="36" spans="2:5" ht="15.75" customHeight="1" x14ac:dyDescent="0.25">
      <c r="C36" s="95"/>
      <c r="D36" s="24">
        <f>D35*25.4</f>
        <v>47.695436398676101</v>
      </c>
      <c r="E36" s="25" t="s">
        <v>88</v>
      </c>
    </row>
    <row r="38" spans="2:5" ht="15.75" customHeight="1" x14ac:dyDescent="0.25">
      <c r="B38" s="47" t="s">
        <v>222</v>
      </c>
    </row>
    <row r="40" spans="2:5" ht="15.75" customHeight="1" x14ac:dyDescent="0.25">
      <c r="C40" s="32" t="s">
        <v>91</v>
      </c>
    </row>
    <row r="41" spans="2:5" ht="15.75" customHeight="1" x14ac:dyDescent="0.25">
      <c r="C41" s="104" t="s">
        <v>89</v>
      </c>
      <c r="D41" s="29">
        <v>3</v>
      </c>
      <c r="E41" s="25" t="s">
        <v>87</v>
      </c>
    </row>
    <row r="42" spans="2:5" ht="15.75" customHeight="1" x14ac:dyDescent="0.25">
      <c r="C42" s="95"/>
      <c r="D42" s="19">
        <f>D41*25.4/1000</f>
        <v>7.619999999999999E-2</v>
      </c>
      <c r="E42" s="25" t="s">
        <v>92</v>
      </c>
    </row>
    <row r="44" spans="2:5" ht="15.75" customHeight="1" x14ac:dyDescent="0.25">
      <c r="C44" s="32" t="s">
        <v>93</v>
      </c>
    </row>
    <row r="45" spans="2:5" ht="15.75" customHeight="1" x14ac:dyDescent="0.25">
      <c r="C45" s="30" t="s">
        <v>94</v>
      </c>
      <c r="D45" s="33">
        <v>150</v>
      </c>
      <c r="E45" s="25" t="s">
        <v>95</v>
      </c>
    </row>
    <row r="47" spans="2:5" ht="15.75" customHeight="1" x14ac:dyDescent="0.25">
      <c r="C47" s="32" t="s">
        <v>118</v>
      </c>
    </row>
    <row r="48" spans="2:5" ht="15.75" customHeight="1" x14ac:dyDescent="0.25">
      <c r="C48" s="30" t="s">
        <v>96</v>
      </c>
      <c r="D48" s="29">
        <v>1206.1087718740512</v>
      </c>
      <c r="E48" s="25" t="s">
        <v>92</v>
      </c>
    </row>
    <row r="50" spans="2:7" ht="15.75" customHeight="1" x14ac:dyDescent="0.25">
      <c r="C50" s="30" t="s">
        <v>97</v>
      </c>
      <c r="D50" s="34">
        <f>10.67*($D$5^1.852/($D$45^1.852*$D$42^4.871))*$D$48</f>
        <v>20.885285134616616</v>
      </c>
      <c r="E50" s="25" t="s">
        <v>92</v>
      </c>
      <c r="F50" s="55" t="str">
        <f>IF(D50&gt;D14,"La carga disponible no puede transportar agua al reservorio, aumentar el diametro escogido","La carga total disponible puede transportar agua al reservorio. Todo OK")</f>
        <v>La carga total disponible puede transportar agua al reservorio. Todo OK</v>
      </c>
    </row>
    <row r="52" spans="2:7" ht="15.75" customHeight="1" x14ac:dyDescent="0.25">
      <c r="B52" s="47" t="s">
        <v>223</v>
      </c>
      <c r="G52" s="22"/>
    </row>
    <row r="54" spans="2:7" ht="15" x14ac:dyDescent="0.25">
      <c r="C54" s="32" t="s">
        <v>99</v>
      </c>
    </row>
    <row r="55" spans="2:7" ht="15" x14ac:dyDescent="0.25">
      <c r="C55" s="30" t="s">
        <v>100</v>
      </c>
      <c r="D55" s="34">
        <f>D5/(PI()*D42^2/4)</f>
        <v>1.1753439215389248</v>
      </c>
      <c r="E55" s="25" t="s">
        <v>83</v>
      </c>
      <c r="F55" s="51" t="s">
        <v>135</v>
      </c>
    </row>
    <row r="58" spans="2:7" ht="15.75" customHeight="1" x14ac:dyDescent="0.25">
      <c r="B58" s="48" t="s">
        <v>136</v>
      </c>
    </row>
    <row r="60" spans="2:7" ht="15" x14ac:dyDescent="0.25">
      <c r="C60" s="32" t="s">
        <v>105</v>
      </c>
    </row>
    <row r="61" spans="2:7" ht="15" x14ac:dyDescent="0.25">
      <c r="C61" s="36" t="s">
        <v>94</v>
      </c>
      <c r="D61" s="52">
        <f>+D45</f>
        <v>150</v>
      </c>
    </row>
    <row r="62" spans="2:7" ht="15" x14ac:dyDescent="0.25">
      <c r="C62" s="36" t="s">
        <v>55</v>
      </c>
      <c r="D62" s="37">
        <f>D41</f>
        <v>3</v>
      </c>
      <c r="E62" s="25" t="s">
        <v>87</v>
      </c>
    </row>
    <row r="63" spans="2:7" ht="15" x14ac:dyDescent="0.25">
      <c r="C63" s="42" t="s">
        <v>63</v>
      </c>
      <c r="D63" s="37">
        <f>+D5</f>
        <v>5.3600000000000002E-3</v>
      </c>
      <c r="E63" s="25" t="s">
        <v>81</v>
      </c>
    </row>
    <row r="64" spans="2:7" ht="15" x14ac:dyDescent="0.25">
      <c r="E64" s="25"/>
    </row>
    <row r="65" spans="3:16" ht="15.75" customHeight="1" x14ac:dyDescent="0.25">
      <c r="M65" s="41" t="s">
        <v>142</v>
      </c>
      <c r="N65" s="41" t="s">
        <v>141</v>
      </c>
      <c r="P65" s="41" t="s">
        <v>139</v>
      </c>
    </row>
    <row r="66" spans="3:16" ht="15.75" customHeight="1" x14ac:dyDescent="0.25">
      <c r="C66" s="39" t="s">
        <v>104</v>
      </c>
      <c r="D66" s="39" t="s">
        <v>106</v>
      </c>
      <c r="E66" s="43" t="s">
        <v>107</v>
      </c>
      <c r="F66" s="39" t="s">
        <v>94</v>
      </c>
      <c r="G66" s="43" t="s">
        <v>109</v>
      </c>
      <c r="H66" s="43" t="s">
        <v>108</v>
      </c>
      <c r="I66" s="43" t="s">
        <v>110</v>
      </c>
      <c r="K66" s="43" t="s">
        <v>111</v>
      </c>
      <c r="L66" s="43" t="s">
        <v>115</v>
      </c>
      <c r="M66" s="43" t="s">
        <v>113</v>
      </c>
      <c r="N66" s="43" t="s">
        <v>112</v>
      </c>
      <c r="O66" s="43" t="s">
        <v>221</v>
      </c>
      <c r="P66" s="43" t="s">
        <v>140</v>
      </c>
    </row>
    <row r="67" spans="3:16" ht="15.75" customHeight="1" x14ac:dyDescent="0.25">
      <c r="C67" s="36">
        <v>1</v>
      </c>
      <c r="D67" s="44">
        <v>12.270203584293126</v>
      </c>
      <c r="E67" s="36">
        <f t="shared" ref="E67:E81" si="0">+$D$62*0.0254</f>
        <v>7.619999999999999E-2</v>
      </c>
      <c r="F67" s="36">
        <f t="shared" ref="F67:F81" si="1">$D$61</f>
        <v>150</v>
      </c>
      <c r="G67" s="37">
        <f t="shared" ref="G67:G81" si="2">+$D$63</f>
        <v>5.3600000000000002E-3</v>
      </c>
      <c r="H67" s="37">
        <f>+G67/(PI()*E67^2/4)</f>
        <v>1.1753439215389248</v>
      </c>
      <c r="I67" s="37">
        <f>10.67*G67^1.852*D67/F67^1.852/E67^4.871</f>
        <v>0.2124739546662692</v>
      </c>
      <c r="K67" s="42">
        <v>1</v>
      </c>
      <c r="L67" s="40">
        <v>0</v>
      </c>
      <c r="M67" s="40">
        <v>1481.059</v>
      </c>
      <c r="N67" s="36">
        <f>+M67</f>
        <v>1481.059</v>
      </c>
      <c r="O67" s="37">
        <f>+N67-M67</f>
        <v>0</v>
      </c>
      <c r="P67" s="36">
        <f>+$M$67</f>
        <v>1481.059</v>
      </c>
    </row>
    <row r="68" spans="3:16" ht="15.75" customHeight="1" x14ac:dyDescent="0.25">
      <c r="C68" s="36">
        <f>1+C67</f>
        <v>2</v>
      </c>
      <c r="D68" s="44">
        <v>30.685422939891193</v>
      </c>
      <c r="E68" s="36">
        <f t="shared" si="0"/>
        <v>7.619999999999999E-2</v>
      </c>
      <c r="F68" s="36">
        <f t="shared" si="1"/>
        <v>150</v>
      </c>
      <c r="G68" s="37">
        <f t="shared" si="2"/>
        <v>5.3600000000000002E-3</v>
      </c>
      <c r="H68" s="37">
        <f t="shared" ref="H68:H81" si="3">+G68/(PI()*E68^2/4)</f>
        <v>1.1753439215389248</v>
      </c>
      <c r="I68" s="37">
        <f t="shared" ref="I68:I81" si="4">10.67*G68^1.852*D68/F68^1.852/E68^4.871</f>
        <v>0.53135655964108752</v>
      </c>
      <c r="K68" s="36">
        <f>+K67+1</f>
        <v>2</v>
      </c>
      <c r="L68" s="40">
        <v>12.21</v>
      </c>
      <c r="M68" s="40">
        <v>1479.845</v>
      </c>
      <c r="N68" s="37">
        <f t="shared" ref="N68:N82" si="5">N67-I67</f>
        <v>1480.8465260453338</v>
      </c>
      <c r="O68" s="37">
        <f t="shared" ref="O68:O82" si="6">+N68-M68</f>
        <v>1.001526045333776</v>
      </c>
      <c r="P68" s="36">
        <f t="shared" ref="P68:P82" si="7">+$M$67</f>
        <v>1481.059</v>
      </c>
    </row>
    <row r="69" spans="3:16" ht="15.75" customHeight="1" x14ac:dyDescent="0.25">
      <c r="C69" s="36">
        <f t="shared" ref="C69:C81" si="8">1+C68</f>
        <v>3</v>
      </c>
      <c r="D69" s="44">
        <v>17.371219905349186</v>
      </c>
      <c r="E69" s="36">
        <f t="shared" si="0"/>
        <v>7.619999999999999E-2</v>
      </c>
      <c r="F69" s="36">
        <f t="shared" si="1"/>
        <v>150</v>
      </c>
      <c r="G69" s="37">
        <f t="shared" si="2"/>
        <v>5.3600000000000002E-3</v>
      </c>
      <c r="H69" s="37">
        <f t="shared" si="3"/>
        <v>1.1753439215389248</v>
      </c>
      <c r="I69" s="37">
        <f t="shared" si="4"/>
        <v>0.30080444593369687</v>
      </c>
      <c r="K69" s="36">
        <f t="shared" ref="K69:K82" si="9">+K68+1</f>
        <v>3</v>
      </c>
      <c r="L69" s="40">
        <v>42.78</v>
      </c>
      <c r="M69" s="40">
        <v>1477.1859999999999</v>
      </c>
      <c r="N69" s="37">
        <f t="shared" si="5"/>
        <v>1480.3151694856926</v>
      </c>
      <c r="O69" s="37">
        <f t="shared" si="6"/>
        <v>3.1291694856927279</v>
      </c>
      <c r="P69" s="36">
        <f t="shared" si="7"/>
        <v>1481.059</v>
      </c>
    </row>
    <row r="70" spans="3:16" ht="15.75" customHeight="1" x14ac:dyDescent="0.25">
      <c r="C70" s="36">
        <f t="shared" si="8"/>
        <v>4</v>
      </c>
      <c r="D70" s="44">
        <v>451.00477085724935</v>
      </c>
      <c r="E70" s="36">
        <f t="shared" si="0"/>
        <v>7.619999999999999E-2</v>
      </c>
      <c r="F70" s="36">
        <f t="shared" si="1"/>
        <v>150</v>
      </c>
      <c r="G70" s="37">
        <f t="shared" si="2"/>
        <v>5.3600000000000002E-3</v>
      </c>
      <c r="H70" s="37">
        <f t="shared" si="3"/>
        <v>1.1753439215389248</v>
      </c>
      <c r="I70" s="37">
        <f t="shared" si="4"/>
        <v>7.8097129015903608</v>
      </c>
      <c r="K70" s="36">
        <f t="shared" si="9"/>
        <v>4</v>
      </c>
      <c r="L70" s="40">
        <v>60.12</v>
      </c>
      <c r="M70" s="40">
        <v>1476.145</v>
      </c>
      <c r="N70" s="37">
        <f t="shared" si="5"/>
        <v>1480.014365039759</v>
      </c>
      <c r="O70" s="37">
        <f t="shared" si="6"/>
        <v>3.8693650397590318</v>
      </c>
      <c r="P70" s="36">
        <f t="shared" si="7"/>
        <v>1481.059</v>
      </c>
    </row>
    <row r="71" spans="3:16" ht="15.75" customHeight="1" x14ac:dyDescent="0.25">
      <c r="C71" s="36">
        <f t="shared" si="8"/>
        <v>5</v>
      </c>
      <c r="D71" s="44">
        <v>13.847585385185377</v>
      </c>
      <c r="E71" s="36">
        <f t="shared" si="0"/>
        <v>7.619999999999999E-2</v>
      </c>
      <c r="F71" s="36">
        <f t="shared" si="1"/>
        <v>150</v>
      </c>
      <c r="G71" s="37">
        <f t="shared" si="2"/>
        <v>5.3600000000000002E-3</v>
      </c>
      <c r="H71" s="37">
        <f t="shared" si="3"/>
        <v>1.1753439215389248</v>
      </c>
      <c r="I71" s="37">
        <f t="shared" si="4"/>
        <v>0.23978829765591614</v>
      </c>
      <c r="K71" s="36">
        <f t="shared" si="9"/>
        <v>5</v>
      </c>
      <c r="L71" s="40">
        <v>509.53</v>
      </c>
      <c r="M71" s="40">
        <v>1438.251</v>
      </c>
      <c r="N71" s="37">
        <f t="shared" si="5"/>
        <v>1472.2046521381687</v>
      </c>
      <c r="O71" s="37">
        <f t="shared" si="6"/>
        <v>33.953652138168763</v>
      </c>
      <c r="P71" s="36">
        <f t="shared" si="7"/>
        <v>1481.059</v>
      </c>
    </row>
    <row r="72" spans="3:16" ht="15.75" customHeight="1" x14ac:dyDescent="0.25">
      <c r="C72" s="36">
        <f t="shared" si="8"/>
        <v>6</v>
      </c>
      <c r="D72" s="44">
        <v>22.962514322260141</v>
      </c>
      <c r="E72" s="36">
        <f t="shared" si="0"/>
        <v>7.619999999999999E-2</v>
      </c>
      <c r="F72" s="36">
        <f t="shared" si="1"/>
        <v>150</v>
      </c>
      <c r="G72" s="37">
        <f t="shared" si="2"/>
        <v>5.3600000000000002E-3</v>
      </c>
      <c r="H72" s="37">
        <f t="shared" si="3"/>
        <v>1.1753439215389248</v>
      </c>
      <c r="I72" s="37">
        <f t="shared" si="4"/>
        <v>0.39762471695065427</v>
      </c>
      <c r="K72" s="36">
        <f t="shared" si="9"/>
        <v>6</v>
      </c>
      <c r="L72" s="40">
        <v>523.04</v>
      </c>
      <c r="M72" s="40">
        <v>1435.212</v>
      </c>
      <c r="N72" s="37">
        <f t="shared" si="5"/>
        <v>1471.9648638405129</v>
      </c>
      <c r="O72" s="37">
        <f t="shared" si="6"/>
        <v>36.752863840512873</v>
      </c>
      <c r="P72" s="36">
        <f t="shared" si="7"/>
        <v>1481.059</v>
      </c>
    </row>
    <row r="73" spans="3:16" ht="15.75" customHeight="1" x14ac:dyDescent="0.25">
      <c r="C73" s="36">
        <f t="shared" si="8"/>
        <v>7</v>
      </c>
      <c r="D73" s="44">
        <v>62.694027028098986</v>
      </c>
      <c r="E73" s="36">
        <f t="shared" si="0"/>
        <v>7.619999999999999E-2</v>
      </c>
      <c r="F73" s="36">
        <f t="shared" si="1"/>
        <v>150</v>
      </c>
      <c r="G73" s="37">
        <f t="shared" si="2"/>
        <v>5.3600000000000002E-3</v>
      </c>
      <c r="H73" s="37">
        <f t="shared" si="3"/>
        <v>1.1753439215389248</v>
      </c>
      <c r="I73" s="37">
        <f t="shared" si="4"/>
        <v>1.0856256593546614</v>
      </c>
      <c r="K73" s="36">
        <f t="shared" si="9"/>
        <v>7</v>
      </c>
      <c r="L73" s="40">
        <v>545.99</v>
      </c>
      <c r="M73" s="40">
        <v>1435.97</v>
      </c>
      <c r="N73" s="37">
        <f t="shared" si="5"/>
        <v>1471.5672391235621</v>
      </c>
      <c r="O73" s="37">
        <f t="shared" si="6"/>
        <v>35.597239123562076</v>
      </c>
      <c r="P73" s="36">
        <f t="shared" si="7"/>
        <v>1481.059</v>
      </c>
    </row>
    <row r="74" spans="3:16" ht="15.75" customHeight="1" x14ac:dyDescent="0.25">
      <c r="C74" s="36">
        <f t="shared" si="8"/>
        <v>8</v>
      </c>
      <c r="D74" s="44">
        <v>37.580002993613434</v>
      </c>
      <c r="E74" s="36">
        <f t="shared" si="0"/>
        <v>7.619999999999999E-2</v>
      </c>
      <c r="F74" s="36">
        <f t="shared" si="1"/>
        <v>150</v>
      </c>
      <c r="G74" s="37">
        <f t="shared" si="2"/>
        <v>5.3600000000000002E-3</v>
      </c>
      <c r="H74" s="37">
        <f t="shared" si="3"/>
        <v>1.1753439215389248</v>
      </c>
      <c r="I74" s="37">
        <f t="shared" si="4"/>
        <v>0.6507448550115702</v>
      </c>
      <c r="K74" s="36">
        <f t="shared" si="9"/>
        <v>8</v>
      </c>
      <c r="L74" s="40">
        <v>608.19000000000005</v>
      </c>
      <c r="M74" s="40">
        <v>1428.115</v>
      </c>
      <c r="N74" s="37">
        <f t="shared" si="5"/>
        <v>1470.4816134642074</v>
      </c>
      <c r="O74" s="37">
        <f t="shared" si="6"/>
        <v>42.366613464207376</v>
      </c>
      <c r="P74" s="36">
        <f t="shared" si="7"/>
        <v>1481.059</v>
      </c>
    </row>
    <row r="75" spans="3:16" ht="15.75" customHeight="1" x14ac:dyDescent="0.25">
      <c r="C75" s="36">
        <f t="shared" si="8"/>
        <v>9</v>
      </c>
      <c r="D75" s="44">
        <v>33.397445471173413</v>
      </c>
      <c r="E75" s="36">
        <f t="shared" si="0"/>
        <v>7.619999999999999E-2</v>
      </c>
      <c r="F75" s="36">
        <f t="shared" si="1"/>
        <v>150</v>
      </c>
      <c r="G75" s="37">
        <f t="shared" si="2"/>
        <v>5.3600000000000002E-3</v>
      </c>
      <c r="H75" s="37">
        <f t="shared" si="3"/>
        <v>1.1753439215389248</v>
      </c>
      <c r="I75" s="37">
        <f t="shared" si="4"/>
        <v>0.57831862904824771</v>
      </c>
      <c r="K75" s="36">
        <f t="shared" si="9"/>
        <v>9</v>
      </c>
      <c r="L75" s="40">
        <v>645.77</v>
      </c>
      <c r="M75" s="40">
        <v>1428.1</v>
      </c>
      <c r="N75" s="37">
        <f t="shared" si="5"/>
        <v>1469.8308686091957</v>
      </c>
      <c r="O75" s="37">
        <f t="shared" si="6"/>
        <v>41.730868609195795</v>
      </c>
      <c r="P75" s="36">
        <f t="shared" si="7"/>
        <v>1481.059</v>
      </c>
    </row>
    <row r="76" spans="3:16" ht="15.75" customHeight="1" x14ac:dyDescent="0.25">
      <c r="C76" s="36">
        <f t="shared" si="8"/>
        <v>10</v>
      </c>
      <c r="D76" s="44">
        <v>40.030897516793182</v>
      </c>
      <c r="E76" s="36">
        <f t="shared" si="0"/>
        <v>7.619999999999999E-2</v>
      </c>
      <c r="F76" s="36">
        <f t="shared" si="1"/>
        <v>150</v>
      </c>
      <c r="G76" s="37">
        <f t="shared" si="2"/>
        <v>5.3600000000000002E-3</v>
      </c>
      <c r="H76" s="37">
        <f t="shared" si="3"/>
        <v>1.1753439215389248</v>
      </c>
      <c r="I76" s="37">
        <f t="shared" si="4"/>
        <v>0.69318516565780153</v>
      </c>
      <c r="K76" s="36">
        <f t="shared" si="9"/>
        <v>10</v>
      </c>
      <c r="L76" s="40">
        <v>679.11</v>
      </c>
      <c r="M76" s="40">
        <v>1426.1420000000001</v>
      </c>
      <c r="N76" s="37">
        <f t="shared" si="5"/>
        <v>1469.2525499801475</v>
      </c>
      <c r="O76" s="37">
        <f t="shared" si="6"/>
        <v>43.110549980147425</v>
      </c>
      <c r="P76" s="36">
        <f t="shared" si="7"/>
        <v>1481.059</v>
      </c>
    </row>
    <row r="77" spans="3:16" ht="15.75" customHeight="1" x14ac:dyDescent="0.25">
      <c r="C77" s="36">
        <f t="shared" si="8"/>
        <v>11</v>
      </c>
      <c r="D77" s="44">
        <v>221.03351621190842</v>
      </c>
      <c r="E77" s="36">
        <f t="shared" si="0"/>
        <v>7.619999999999999E-2</v>
      </c>
      <c r="F77" s="36">
        <f t="shared" si="1"/>
        <v>150</v>
      </c>
      <c r="G77" s="37">
        <f t="shared" si="2"/>
        <v>5.3600000000000002E-3</v>
      </c>
      <c r="H77" s="37">
        <f t="shared" si="3"/>
        <v>1.1753439215389248</v>
      </c>
      <c r="I77" s="37">
        <f t="shared" si="4"/>
        <v>3.827472378979329</v>
      </c>
      <c r="K77" s="36">
        <f t="shared" si="9"/>
        <v>11</v>
      </c>
      <c r="L77" s="40">
        <v>719.13</v>
      </c>
      <c r="M77" s="40">
        <v>1425.2080000000001</v>
      </c>
      <c r="N77" s="37">
        <f t="shared" si="5"/>
        <v>1468.5593648144898</v>
      </c>
      <c r="O77" s="37">
        <f t="shared" si="6"/>
        <v>43.351364814489671</v>
      </c>
      <c r="P77" s="36">
        <f t="shared" si="7"/>
        <v>1481.059</v>
      </c>
    </row>
    <row r="78" spans="3:16" ht="15.75" customHeight="1" x14ac:dyDescent="0.25">
      <c r="C78" s="36">
        <f t="shared" si="8"/>
        <v>12</v>
      </c>
      <c r="D78" s="44">
        <v>62.090009309066815</v>
      </c>
      <c r="E78" s="36">
        <f t="shared" si="0"/>
        <v>7.619999999999999E-2</v>
      </c>
      <c r="F78" s="36">
        <f t="shared" si="1"/>
        <v>150</v>
      </c>
      <c r="G78" s="37">
        <f t="shared" si="2"/>
        <v>5.3600000000000002E-3</v>
      </c>
      <c r="H78" s="37">
        <f t="shared" si="3"/>
        <v>1.1753439215389248</v>
      </c>
      <c r="I78" s="37">
        <f t="shared" si="4"/>
        <v>1.0751663354673586</v>
      </c>
      <c r="K78" s="36">
        <f t="shared" si="9"/>
        <v>12</v>
      </c>
      <c r="L78" s="40">
        <v>940.05</v>
      </c>
      <c r="M78" s="40">
        <v>1418.125</v>
      </c>
      <c r="N78" s="37">
        <f t="shared" si="5"/>
        <v>1464.7318924355104</v>
      </c>
      <c r="O78" s="37">
        <f t="shared" si="6"/>
        <v>46.606892435510417</v>
      </c>
      <c r="P78" s="36">
        <f t="shared" si="7"/>
        <v>1481.059</v>
      </c>
    </row>
    <row r="79" spans="3:16" ht="15.75" customHeight="1" x14ac:dyDescent="0.25">
      <c r="C79" s="36">
        <f t="shared" si="8"/>
        <v>13</v>
      </c>
      <c r="D79" s="44">
        <v>58.584153326646323</v>
      </c>
      <c r="E79" s="36">
        <f t="shared" si="0"/>
        <v>7.619999999999999E-2</v>
      </c>
      <c r="F79" s="36">
        <f t="shared" si="1"/>
        <v>150</v>
      </c>
      <c r="G79" s="37">
        <f t="shared" si="2"/>
        <v>5.3600000000000002E-3</v>
      </c>
      <c r="H79" s="37">
        <f t="shared" si="3"/>
        <v>1.1753439215389248</v>
      </c>
      <c r="I79" s="37">
        <f t="shared" si="4"/>
        <v>1.0144580448544129</v>
      </c>
      <c r="K79" s="36">
        <f t="shared" si="9"/>
        <v>13</v>
      </c>
      <c r="L79" s="40">
        <v>1002.14</v>
      </c>
      <c r="M79" s="40">
        <v>1418.0909999999999</v>
      </c>
      <c r="N79" s="37">
        <f t="shared" si="5"/>
        <v>1463.656726100043</v>
      </c>
      <c r="O79" s="37">
        <f t="shared" si="6"/>
        <v>45.565726100043094</v>
      </c>
      <c r="P79" s="36">
        <f t="shared" si="7"/>
        <v>1481.059</v>
      </c>
    </row>
    <row r="80" spans="3:16" ht="15.75" customHeight="1" x14ac:dyDescent="0.25">
      <c r="C80" s="36">
        <f t="shared" si="8"/>
        <v>14</v>
      </c>
      <c r="D80" s="44">
        <v>65.1396761505613</v>
      </c>
      <c r="E80" s="36">
        <f t="shared" si="0"/>
        <v>7.619999999999999E-2</v>
      </c>
      <c r="F80" s="36">
        <f t="shared" si="1"/>
        <v>150</v>
      </c>
      <c r="G80" s="37">
        <f t="shared" si="2"/>
        <v>5.3600000000000002E-3</v>
      </c>
      <c r="H80" s="37">
        <f t="shared" si="3"/>
        <v>1.1753439215389248</v>
      </c>
      <c r="I80" s="37">
        <f t="shared" si="4"/>
        <v>1.1279751393128292</v>
      </c>
      <c r="K80" s="36">
        <f t="shared" si="9"/>
        <v>14</v>
      </c>
      <c r="L80" s="40">
        <v>1060.45</v>
      </c>
      <c r="M80" s="40">
        <v>1412.43</v>
      </c>
      <c r="N80" s="37">
        <f t="shared" si="5"/>
        <v>1462.6422680551887</v>
      </c>
      <c r="O80" s="37">
        <f t="shared" si="6"/>
        <v>50.212268055188588</v>
      </c>
      <c r="P80" s="36">
        <f t="shared" si="7"/>
        <v>1481.059</v>
      </c>
    </row>
    <row r="81" spans="3:16" ht="15.75" customHeight="1" x14ac:dyDescent="0.25">
      <c r="C81" s="36">
        <f t="shared" si="8"/>
        <v>15</v>
      </c>
      <c r="D81" s="44">
        <v>77.417326871960697</v>
      </c>
      <c r="E81" s="36">
        <f t="shared" si="0"/>
        <v>7.619999999999999E-2</v>
      </c>
      <c r="F81" s="36">
        <f t="shared" si="1"/>
        <v>150</v>
      </c>
      <c r="G81" s="37">
        <f t="shared" si="2"/>
        <v>5.3600000000000002E-3</v>
      </c>
      <c r="H81" s="37">
        <f t="shared" si="3"/>
        <v>1.1753439215389248</v>
      </c>
      <c r="I81" s="37">
        <f t="shared" si="4"/>
        <v>1.3405780504924147</v>
      </c>
      <c r="K81" s="36">
        <f t="shared" si="9"/>
        <v>15</v>
      </c>
      <c r="L81" s="40">
        <v>1124.93</v>
      </c>
      <c r="M81" s="40">
        <v>1403.183</v>
      </c>
      <c r="N81" s="37">
        <f t="shared" si="5"/>
        <v>1461.5142929158758</v>
      </c>
      <c r="O81" s="37">
        <f t="shared" si="6"/>
        <v>58.331292915875792</v>
      </c>
      <c r="P81" s="36">
        <f t="shared" si="7"/>
        <v>1481.059</v>
      </c>
    </row>
    <row r="82" spans="3:16" ht="15.75" customHeight="1" x14ac:dyDescent="0.25">
      <c r="C82" s="36"/>
      <c r="D82" s="44"/>
      <c r="E82" s="36"/>
      <c r="F82" s="36"/>
      <c r="G82" s="37"/>
      <c r="H82" s="37"/>
      <c r="I82" s="37"/>
      <c r="K82" s="36">
        <f t="shared" si="9"/>
        <v>16</v>
      </c>
      <c r="L82" s="40">
        <v>1201.3800000000001</v>
      </c>
      <c r="M82" s="40">
        <v>1390.9829999999999</v>
      </c>
      <c r="N82" s="37">
        <f t="shared" si="5"/>
        <v>1460.1737148653833</v>
      </c>
      <c r="O82" s="37">
        <f t="shared" si="6"/>
        <v>69.19071486538337</v>
      </c>
      <c r="P82" s="36">
        <f t="shared" si="7"/>
        <v>1481.059</v>
      </c>
    </row>
    <row r="83" spans="3:16" ht="15.75" customHeight="1" x14ac:dyDescent="0.25">
      <c r="C83" s="36"/>
      <c r="D83" s="44"/>
      <c r="E83" s="36"/>
      <c r="F83" s="36"/>
      <c r="G83" s="37"/>
      <c r="H83" s="37"/>
      <c r="I83" s="37"/>
      <c r="K83" s="36"/>
      <c r="L83" s="40"/>
      <c r="M83" s="40"/>
      <c r="N83" s="37"/>
      <c r="O83" s="37"/>
      <c r="P83" s="36"/>
    </row>
    <row r="84" spans="3:16" ht="15.75" customHeight="1" x14ac:dyDescent="0.25">
      <c r="C84" s="36"/>
      <c r="D84" s="44"/>
      <c r="E84" s="36"/>
      <c r="F84" s="36"/>
      <c r="G84" s="37"/>
      <c r="H84" s="37"/>
      <c r="I84" s="37"/>
      <c r="K84" s="36"/>
      <c r="L84" s="40"/>
      <c r="M84" s="40"/>
      <c r="N84" s="37"/>
      <c r="O84" s="37"/>
      <c r="P84" s="36"/>
    </row>
    <row r="85" spans="3:16" ht="15.75" customHeight="1" x14ac:dyDescent="0.25">
      <c r="C85" s="36"/>
      <c r="D85" s="44"/>
      <c r="E85" s="36"/>
      <c r="F85" s="36"/>
      <c r="G85" s="37"/>
      <c r="H85" s="37"/>
      <c r="I85" s="37"/>
      <c r="K85" s="36"/>
      <c r="L85" s="40"/>
      <c r="M85" s="40"/>
      <c r="N85" s="37"/>
      <c r="O85" s="37"/>
      <c r="P85" s="36"/>
    </row>
    <row r="86" spans="3:16" ht="15.75" customHeight="1" x14ac:dyDescent="0.25">
      <c r="C86" s="36"/>
      <c r="D86" s="44"/>
      <c r="E86" s="36"/>
      <c r="F86" s="36"/>
      <c r="G86" s="37"/>
      <c r="H86" s="37"/>
      <c r="I86" s="37"/>
      <c r="K86" s="36"/>
      <c r="L86" s="40"/>
      <c r="M86" s="40"/>
      <c r="N86" s="37"/>
      <c r="O86" s="37"/>
      <c r="P86" s="36"/>
    </row>
    <row r="87" spans="3:16" ht="15.75" customHeight="1" x14ac:dyDescent="0.25">
      <c r="C87" s="36"/>
      <c r="D87" s="44"/>
      <c r="E87" s="36"/>
      <c r="F87" s="36"/>
      <c r="G87" s="37"/>
      <c r="H87" s="37"/>
      <c r="I87" s="37"/>
      <c r="K87" s="36"/>
      <c r="L87" s="40"/>
      <c r="M87" s="40"/>
      <c r="N87" s="37"/>
      <c r="O87" s="37"/>
      <c r="P87" s="36"/>
    </row>
    <row r="88" spans="3:16" ht="15.75" customHeight="1" x14ac:dyDescent="0.25">
      <c r="C88" s="36"/>
      <c r="D88" s="44"/>
      <c r="E88" s="36"/>
      <c r="F88" s="36"/>
      <c r="G88" s="37"/>
      <c r="H88" s="37"/>
      <c r="I88" s="37"/>
      <c r="K88" s="36"/>
      <c r="L88" s="40"/>
      <c r="M88" s="40"/>
      <c r="N88" s="37"/>
      <c r="O88" s="37"/>
      <c r="P88" s="36"/>
    </row>
    <row r="89" spans="3:16" ht="15.75" customHeight="1" x14ac:dyDescent="0.25">
      <c r="C89" s="36"/>
      <c r="D89" s="44"/>
      <c r="E89" s="36"/>
      <c r="F89" s="36"/>
      <c r="G89" s="37"/>
      <c r="H89" s="37"/>
      <c r="I89" s="37"/>
      <c r="K89" s="36"/>
      <c r="L89" s="40"/>
      <c r="M89" s="40"/>
      <c r="N89" s="37"/>
      <c r="O89" s="37"/>
      <c r="P89" s="36"/>
    </row>
    <row r="90" spans="3:16" ht="15.75" customHeight="1" x14ac:dyDescent="0.25">
      <c r="C90" s="36"/>
      <c r="D90" s="44"/>
      <c r="E90" s="36"/>
      <c r="F90" s="36"/>
      <c r="G90" s="37"/>
      <c r="H90" s="37"/>
      <c r="I90" s="37"/>
      <c r="K90" s="36"/>
      <c r="L90" s="40"/>
      <c r="M90" s="40"/>
      <c r="N90" s="37"/>
      <c r="O90" s="37"/>
      <c r="P90" s="36"/>
    </row>
    <row r="91" spans="3:16" ht="15.75" customHeight="1" x14ac:dyDescent="0.25">
      <c r="C91" s="36"/>
      <c r="D91" s="44"/>
      <c r="E91" s="36"/>
      <c r="F91" s="36"/>
      <c r="G91" s="37"/>
      <c r="H91" s="37"/>
      <c r="I91" s="37"/>
      <c r="K91" s="36"/>
      <c r="L91" s="40"/>
      <c r="M91" s="40"/>
      <c r="N91" s="37"/>
      <c r="O91" s="37"/>
      <c r="P91" s="36"/>
    </row>
    <row r="92" spans="3:16" ht="15.75" customHeight="1" x14ac:dyDescent="0.25">
      <c r="C92" s="36"/>
      <c r="D92" s="44"/>
      <c r="E92" s="36"/>
      <c r="F92" s="36"/>
      <c r="G92" s="37"/>
      <c r="H92" s="37"/>
      <c r="I92" s="37"/>
      <c r="K92" s="36"/>
      <c r="L92" s="40"/>
      <c r="M92" s="40"/>
      <c r="N92" s="37"/>
      <c r="O92" s="37"/>
      <c r="P92" s="36"/>
    </row>
    <row r="93" spans="3:16" ht="15.75" customHeight="1" x14ac:dyDescent="0.25">
      <c r="C93" s="36"/>
      <c r="D93" s="44"/>
      <c r="E93" s="36"/>
      <c r="F93" s="36"/>
      <c r="G93" s="37"/>
      <c r="H93" s="37"/>
      <c r="I93" s="37"/>
      <c r="K93" s="36"/>
      <c r="L93" s="40"/>
      <c r="M93" s="40"/>
      <c r="N93" s="37"/>
      <c r="O93" s="37"/>
      <c r="P93" s="36"/>
    </row>
    <row r="94" spans="3:16" ht="15.75" customHeight="1" x14ac:dyDescent="0.25">
      <c r="C94" s="36"/>
      <c r="D94" s="44"/>
      <c r="E94" s="36"/>
      <c r="F94" s="36"/>
      <c r="G94" s="37"/>
      <c r="H94" s="37"/>
      <c r="I94" s="37"/>
      <c r="K94" s="36"/>
      <c r="L94" s="40"/>
      <c r="M94" s="40"/>
      <c r="N94" s="37"/>
      <c r="O94" s="37"/>
      <c r="P94" s="36"/>
    </row>
    <row r="95" spans="3:16" ht="15.75" customHeight="1" x14ac:dyDescent="0.25">
      <c r="C95" s="36"/>
      <c r="D95" s="44"/>
      <c r="E95" s="36"/>
      <c r="F95" s="36"/>
      <c r="G95" s="37"/>
      <c r="H95" s="37"/>
      <c r="I95" s="37"/>
      <c r="K95" s="36"/>
      <c r="L95" s="40"/>
      <c r="M95" s="40"/>
      <c r="N95" s="37"/>
      <c r="O95" s="37"/>
      <c r="P95" s="36"/>
    </row>
    <row r="96" spans="3:16" ht="15.75" customHeight="1" x14ac:dyDescent="0.25">
      <c r="C96" s="36"/>
      <c r="D96" s="44"/>
      <c r="E96" s="36"/>
      <c r="F96" s="36"/>
      <c r="G96" s="37"/>
      <c r="H96" s="37"/>
      <c r="I96" s="37"/>
      <c r="K96" s="36"/>
      <c r="L96" s="40"/>
      <c r="M96" s="40"/>
      <c r="N96" s="37"/>
      <c r="O96" s="37"/>
      <c r="P96" s="36"/>
    </row>
    <row r="97" spans="3:16" ht="15.75" customHeight="1" x14ac:dyDescent="0.25">
      <c r="C97" s="36"/>
      <c r="D97" s="44"/>
      <c r="E97" s="36"/>
      <c r="F97" s="36"/>
      <c r="G97" s="37"/>
      <c r="H97" s="37"/>
      <c r="I97" s="37"/>
      <c r="K97" s="36"/>
      <c r="L97" s="40"/>
      <c r="M97" s="40"/>
      <c r="N97" s="37"/>
      <c r="O97" s="37"/>
      <c r="P97" s="36"/>
    </row>
    <row r="98" spans="3:16" ht="15.75" customHeight="1" x14ac:dyDescent="0.25">
      <c r="C98" s="36"/>
      <c r="D98" s="44"/>
      <c r="E98" s="36"/>
      <c r="F98" s="36"/>
      <c r="G98" s="37"/>
      <c r="H98" s="37"/>
      <c r="I98" s="37"/>
      <c r="K98" s="36"/>
      <c r="L98" s="40"/>
      <c r="M98" s="40"/>
      <c r="N98" s="37"/>
      <c r="O98" s="37"/>
      <c r="P98" s="36"/>
    </row>
    <row r="99" spans="3:16" ht="15.75" customHeight="1" x14ac:dyDescent="0.25">
      <c r="C99" s="36"/>
      <c r="D99" s="44"/>
      <c r="E99" s="36"/>
      <c r="F99" s="36"/>
      <c r="G99" s="37"/>
      <c r="H99" s="37"/>
      <c r="I99" s="37"/>
      <c r="K99" s="36"/>
      <c r="L99" s="40"/>
      <c r="M99" s="40"/>
      <c r="N99" s="37"/>
      <c r="O99" s="37"/>
      <c r="P99" s="36"/>
    </row>
    <row r="100" spans="3:16" ht="15.75" customHeight="1" x14ac:dyDescent="0.25">
      <c r="C100" s="36"/>
      <c r="D100" s="44"/>
      <c r="E100" s="36"/>
      <c r="F100" s="36"/>
      <c r="G100" s="37"/>
      <c r="H100" s="37"/>
      <c r="I100" s="37"/>
      <c r="K100" s="36"/>
      <c r="L100" s="40"/>
      <c r="M100" s="40"/>
      <c r="N100" s="37"/>
      <c r="O100" s="37"/>
      <c r="P100" s="36"/>
    </row>
    <row r="101" spans="3:16" ht="15.75" customHeight="1" x14ac:dyDescent="0.25">
      <c r="C101" s="36"/>
      <c r="D101" s="44"/>
      <c r="E101" s="36"/>
      <c r="F101" s="36"/>
      <c r="G101" s="37"/>
      <c r="H101" s="37"/>
      <c r="I101" s="37"/>
      <c r="K101" s="36"/>
      <c r="L101" s="40"/>
      <c r="M101" s="40"/>
      <c r="N101" s="37"/>
      <c r="O101" s="37"/>
      <c r="P101" s="36"/>
    </row>
    <row r="102" spans="3:16" ht="15.75" customHeight="1" x14ac:dyDescent="0.25">
      <c r="C102" s="36"/>
      <c r="D102" s="44"/>
      <c r="E102" s="36"/>
      <c r="F102" s="36"/>
      <c r="G102" s="37"/>
      <c r="H102" s="37"/>
      <c r="I102" s="37"/>
      <c r="K102" s="36"/>
      <c r="L102" s="40"/>
      <c r="M102" s="40"/>
      <c r="N102" s="37"/>
      <c r="O102" s="37"/>
      <c r="P102" s="36"/>
    </row>
    <row r="103" spans="3:16" ht="15.75" customHeight="1" x14ac:dyDescent="0.25">
      <c r="C103" s="36"/>
      <c r="D103" s="44"/>
      <c r="E103" s="36"/>
      <c r="F103" s="36"/>
      <c r="G103" s="37"/>
      <c r="H103" s="37"/>
      <c r="I103" s="37"/>
      <c r="K103" s="36"/>
      <c r="L103" s="40"/>
      <c r="M103" s="40"/>
      <c r="N103" s="37"/>
      <c r="O103" s="37"/>
      <c r="P103" s="36"/>
    </row>
    <row r="104" spans="3:16" ht="15.75" customHeight="1" x14ac:dyDescent="0.25">
      <c r="C104" s="36"/>
      <c r="D104" s="44"/>
      <c r="E104" s="36"/>
      <c r="F104" s="36"/>
      <c r="G104" s="37"/>
      <c r="H104" s="37"/>
      <c r="I104" s="37"/>
      <c r="K104" s="36"/>
      <c r="L104" s="40"/>
      <c r="M104" s="40"/>
      <c r="N104" s="37"/>
      <c r="O104" s="37"/>
      <c r="P104" s="36"/>
    </row>
    <row r="105" spans="3:16" ht="15.75" customHeight="1" x14ac:dyDescent="0.25">
      <c r="C105" s="36"/>
      <c r="D105" s="44"/>
      <c r="E105" s="36"/>
      <c r="F105" s="36"/>
      <c r="G105" s="37"/>
      <c r="H105" s="37"/>
      <c r="I105" s="37"/>
      <c r="K105" s="36"/>
      <c r="L105" s="40"/>
      <c r="M105" s="40"/>
      <c r="N105" s="37"/>
      <c r="O105" s="37"/>
      <c r="P105" s="36"/>
    </row>
    <row r="106" spans="3:16" ht="15.75" customHeight="1" x14ac:dyDescent="0.25">
      <c r="C106" s="36"/>
      <c r="D106" s="44"/>
      <c r="E106" s="36"/>
      <c r="F106" s="36"/>
      <c r="G106" s="37"/>
      <c r="H106" s="37"/>
      <c r="I106" s="37"/>
      <c r="K106" s="36"/>
      <c r="L106" s="40"/>
      <c r="M106" s="40"/>
      <c r="N106" s="37"/>
      <c r="O106" s="37"/>
      <c r="P106" s="36"/>
    </row>
    <row r="107" spans="3:16" ht="15.75" customHeight="1" x14ac:dyDescent="0.25">
      <c r="C107" s="36"/>
      <c r="D107" s="44"/>
      <c r="E107" s="36"/>
      <c r="F107" s="36"/>
      <c r="G107" s="37"/>
      <c r="H107" s="37"/>
      <c r="I107" s="37"/>
      <c r="K107" s="36"/>
      <c r="L107" s="40"/>
      <c r="M107" s="40"/>
      <c r="N107" s="37"/>
      <c r="O107" s="37"/>
      <c r="P107" s="36"/>
    </row>
    <row r="108" spans="3:16" ht="15.75" customHeight="1" x14ac:dyDescent="0.25">
      <c r="C108" s="36"/>
      <c r="D108" s="44"/>
      <c r="E108" s="36"/>
      <c r="F108" s="36"/>
      <c r="G108" s="37"/>
      <c r="H108" s="37"/>
      <c r="I108" s="37"/>
      <c r="K108" s="36"/>
      <c r="L108" s="40"/>
      <c r="M108" s="40"/>
      <c r="N108" s="37"/>
      <c r="O108" s="37"/>
      <c r="P108" s="36"/>
    </row>
    <row r="109" spans="3:16" ht="15.75" customHeight="1" x14ac:dyDescent="0.25">
      <c r="C109" s="36"/>
      <c r="D109" s="44"/>
      <c r="E109" s="36"/>
      <c r="F109" s="36"/>
      <c r="G109" s="37"/>
      <c r="H109" s="37"/>
      <c r="I109" s="37"/>
      <c r="K109" s="36"/>
      <c r="L109" s="40"/>
      <c r="M109" s="40"/>
      <c r="N109" s="37"/>
      <c r="O109" s="37"/>
      <c r="P109" s="36"/>
    </row>
    <row r="110" spans="3:16" ht="15.75" customHeight="1" x14ac:dyDescent="0.25">
      <c r="C110" s="36"/>
      <c r="D110" s="44"/>
      <c r="E110" s="36"/>
      <c r="F110" s="36"/>
      <c r="G110" s="37"/>
      <c r="H110" s="37"/>
      <c r="I110" s="37"/>
      <c r="K110" s="36"/>
      <c r="L110" s="40"/>
      <c r="M110" s="40"/>
      <c r="N110" s="37"/>
      <c r="O110" s="37"/>
      <c r="P110" s="36"/>
    </row>
    <row r="111" spans="3:16" ht="15.75" customHeight="1" x14ac:dyDescent="0.25">
      <c r="C111" s="36"/>
      <c r="D111" s="44"/>
      <c r="E111" s="36"/>
      <c r="F111" s="36"/>
      <c r="G111" s="37"/>
      <c r="H111" s="37"/>
      <c r="I111" s="37"/>
      <c r="K111" s="36"/>
      <c r="L111" s="40"/>
      <c r="M111" s="40"/>
      <c r="N111" s="37"/>
      <c r="O111" s="37"/>
      <c r="P111" s="36"/>
    </row>
    <row r="112" spans="3:16" ht="15.75" customHeight="1" x14ac:dyDescent="0.25">
      <c r="C112" s="36"/>
      <c r="D112" s="44"/>
      <c r="E112" s="36"/>
      <c r="F112" s="36"/>
      <c r="G112" s="37"/>
      <c r="H112" s="37"/>
      <c r="I112" s="37"/>
      <c r="K112" s="36"/>
      <c r="L112" s="40"/>
      <c r="M112" s="40"/>
      <c r="N112" s="37"/>
      <c r="O112" s="37"/>
      <c r="P112" s="36"/>
    </row>
    <row r="113" spans="3:16" ht="15.75" customHeight="1" x14ac:dyDescent="0.25">
      <c r="C113" s="36"/>
      <c r="D113" s="44"/>
      <c r="E113" s="36"/>
      <c r="F113" s="36"/>
      <c r="G113" s="37"/>
      <c r="H113" s="37"/>
      <c r="I113" s="37"/>
      <c r="K113" s="36"/>
      <c r="L113" s="40"/>
      <c r="M113" s="40"/>
      <c r="N113" s="37"/>
      <c r="O113" s="37"/>
      <c r="P113" s="36"/>
    </row>
    <row r="114" spans="3:16" ht="15.75" customHeight="1" x14ac:dyDescent="0.25">
      <c r="C114" s="36"/>
      <c r="D114" s="44"/>
      <c r="E114" s="36"/>
      <c r="F114" s="36"/>
      <c r="G114" s="37"/>
      <c r="H114" s="37"/>
      <c r="I114" s="37"/>
      <c r="K114" s="36"/>
      <c r="L114" s="40"/>
      <c r="M114" s="40"/>
      <c r="N114" s="37"/>
      <c r="O114" s="37"/>
      <c r="P114" s="36"/>
    </row>
    <row r="115" spans="3:16" ht="15.75" customHeight="1" x14ac:dyDescent="0.25">
      <c r="C115" s="36"/>
      <c r="D115" s="44"/>
      <c r="E115" s="36"/>
      <c r="F115" s="36"/>
      <c r="G115" s="37"/>
      <c r="H115" s="37"/>
      <c r="I115" s="37"/>
      <c r="K115" s="36"/>
      <c r="L115" s="40"/>
      <c r="M115" s="40"/>
      <c r="N115" s="37"/>
      <c r="O115" s="37"/>
      <c r="P115" s="36"/>
    </row>
    <row r="116" spans="3:16" ht="15.75" customHeight="1" x14ac:dyDescent="0.25">
      <c r="C116" s="36"/>
      <c r="D116" s="44"/>
      <c r="E116" s="36"/>
      <c r="F116" s="36"/>
      <c r="G116" s="37"/>
      <c r="H116" s="37"/>
      <c r="I116" s="37"/>
      <c r="K116" s="36"/>
      <c r="L116" s="40"/>
      <c r="M116" s="40"/>
      <c r="N116" s="37"/>
      <c r="O116" s="37"/>
      <c r="P116" s="36"/>
    </row>
    <row r="117" spans="3:16" ht="15.75" customHeight="1" x14ac:dyDescent="0.25">
      <c r="C117" s="36"/>
      <c r="D117" s="44"/>
      <c r="E117" s="36"/>
      <c r="F117" s="36"/>
      <c r="G117" s="37"/>
      <c r="H117" s="37"/>
      <c r="I117" s="37"/>
      <c r="K117" s="36"/>
      <c r="L117" s="40"/>
      <c r="M117" s="40"/>
      <c r="N117" s="37"/>
      <c r="O117" s="37"/>
      <c r="P117" s="36"/>
    </row>
    <row r="118" spans="3:16" ht="15.75" customHeight="1" x14ac:dyDescent="0.25">
      <c r="C118" s="36"/>
      <c r="D118" s="44"/>
      <c r="E118" s="36"/>
      <c r="F118" s="36"/>
      <c r="G118" s="37"/>
      <c r="H118" s="37"/>
      <c r="I118" s="37"/>
      <c r="K118" s="36"/>
      <c r="L118" s="40"/>
      <c r="M118" s="40"/>
      <c r="N118" s="37"/>
      <c r="O118" s="37"/>
      <c r="P118" s="36"/>
    </row>
    <row r="119" spans="3:16" ht="15.75" customHeight="1" x14ac:dyDescent="0.25">
      <c r="C119" s="36"/>
      <c r="D119" s="44"/>
      <c r="E119" s="36"/>
      <c r="F119" s="36"/>
      <c r="G119" s="37"/>
      <c r="H119" s="37"/>
      <c r="I119" s="37"/>
      <c r="K119" s="36"/>
      <c r="L119" s="40"/>
      <c r="M119" s="40"/>
      <c r="N119" s="37"/>
      <c r="O119" s="37"/>
      <c r="P119" s="36"/>
    </row>
    <row r="120" spans="3:16" ht="15.75" customHeight="1" x14ac:dyDescent="0.25">
      <c r="C120" s="36"/>
      <c r="D120" s="44"/>
      <c r="E120" s="36"/>
      <c r="F120" s="36"/>
      <c r="G120" s="37"/>
      <c r="H120" s="37"/>
      <c r="I120" s="37"/>
      <c r="K120" s="36"/>
      <c r="L120" s="40"/>
      <c r="M120" s="40"/>
      <c r="N120" s="37"/>
      <c r="O120" s="37"/>
      <c r="P120" s="36"/>
    </row>
    <row r="121" spans="3:16" ht="15.75" customHeight="1" x14ac:dyDescent="0.25">
      <c r="C121" s="36"/>
      <c r="D121" s="44"/>
      <c r="E121" s="36"/>
      <c r="F121" s="36"/>
      <c r="G121" s="37"/>
      <c r="H121" s="37"/>
      <c r="I121" s="37"/>
      <c r="K121" s="36"/>
      <c r="L121" s="40"/>
      <c r="M121" s="40"/>
      <c r="N121" s="37"/>
      <c r="O121" s="37"/>
      <c r="P121" s="36"/>
    </row>
    <row r="122" spans="3:16" ht="15.75" customHeight="1" x14ac:dyDescent="0.25">
      <c r="C122" s="36"/>
      <c r="D122" s="44"/>
      <c r="E122" s="36"/>
      <c r="F122" s="36"/>
      <c r="G122" s="37"/>
      <c r="H122" s="37"/>
      <c r="I122" s="37"/>
      <c r="K122" s="36"/>
      <c r="L122" s="40"/>
      <c r="M122" s="40"/>
      <c r="N122" s="37"/>
      <c r="O122" s="37"/>
      <c r="P122" s="36"/>
    </row>
    <row r="123" spans="3:16" ht="15.75" customHeight="1" x14ac:dyDescent="0.25">
      <c r="C123" s="36"/>
      <c r="D123" s="44"/>
      <c r="E123" s="36"/>
      <c r="F123" s="36"/>
      <c r="G123" s="37"/>
      <c r="H123" s="37"/>
      <c r="I123" s="37"/>
      <c r="K123" s="36"/>
      <c r="L123" s="40"/>
      <c r="M123" s="40"/>
      <c r="N123" s="37"/>
      <c r="O123" s="37"/>
      <c r="P123" s="36"/>
    </row>
    <row r="124" spans="3:16" ht="15.75" customHeight="1" x14ac:dyDescent="0.25">
      <c r="C124" s="36"/>
      <c r="D124" s="44"/>
      <c r="E124" s="36"/>
      <c r="F124" s="36"/>
      <c r="G124" s="37"/>
      <c r="H124" s="37"/>
      <c r="I124" s="37"/>
      <c r="K124" s="36"/>
      <c r="L124" s="40"/>
      <c r="M124" s="40"/>
      <c r="N124" s="37"/>
      <c r="O124" s="37"/>
      <c r="P124" s="36"/>
    </row>
    <row r="125" spans="3:16" ht="15.75" customHeight="1" x14ac:dyDescent="0.25">
      <c r="C125" s="36"/>
      <c r="D125" s="44"/>
      <c r="E125" s="36"/>
      <c r="F125" s="36"/>
      <c r="G125" s="37"/>
      <c r="H125" s="37"/>
      <c r="I125" s="37"/>
      <c r="K125" s="36"/>
      <c r="L125" s="40"/>
      <c r="M125" s="40"/>
      <c r="N125" s="37"/>
      <c r="O125" s="37"/>
      <c r="P125" s="36"/>
    </row>
    <row r="126" spans="3:16" ht="15.75" customHeight="1" x14ac:dyDescent="0.25">
      <c r="C126" s="36"/>
      <c r="D126" s="44"/>
      <c r="E126" s="36"/>
      <c r="F126" s="36"/>
      <c r="G126" s="37"/>
      <c r="H126" s="37"/>
      <c r="I126" s="37"/>
      <c r="K126" s="36"/>
      <c r="L126" s="40"/>
      <c r="M126" s="40"/>
      <c r="N126" s="37"/>
      <c r="O126" s="37"/>
      <c r="P126" s="36"/>
    </row>
    <row r="127" spans="3:16" ht="15.75" customHeight="1" x14ac:dyDescent="0.25">
      <c r="K127" s="36"/>
      <c r="L127" s="40"/>
      <c r="M127" s="40"/>
      <c r="N127" s="37"/>
      <c r="O127" s="37"/>
      <c r="P127" s="36"/>
    </row>
  </sheetData>
  <mergeCells count="5">
    <mergeCell ref="C4:C5"/>
    <mergeCell ref="C18:C21"/>
    <mergeCell ref="C33:C34"/>
    <mergeCell ref="C35:C36"/>
    <mergeCell ref="C41:C42"/>
  </mergeCells>
  <conditionalFormatting sqref="F50">
    <cfRule type="expression" dxfId="3" priority="1">
      <formula>$D$50&lt;=$D$14</formula>
    </cfRule>
    <cfRule type="expression" dxfId="2" priority="2">
      <formula>$D$50&gt;$D$14</formula>
    </cfRule>
  </conditionalFormatting>
  <hyperlinks>
    <hyperlink ref="E23" r:id="rId1" xr:uid="{36A87669-C4E7-4EEC-8122-83B11B008652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F90EF-E820-4140-A5F8-A89E12B811EA}">
  <sheetPr>
    <outlinePr summaryBelow="0" summaryRight="0"/>
  </sheetPr>
  <dimension ref="B2:P68"/>
  <sheetViews>
    <sheetView tabSelected="1" topLeftCell="A25" zoomScaleNormal="100" workbookViewId="0"/>
  </sheetViews>
  <sheetFormatPr baseColWidth="10" defaultColWidth="12.5703125" defaultRowHeight="15.75" customHeight="1" x14ac:dyDescent="0.25"/>
  <cols>
    <col min="1" max="1" width="9.140625" customWidth="1"/>
    <col min="2" max="2" width="5.85546875" style="48" customWidth="1"/>
  </cols>
  <sheetData>
    <row r="2" spans="2:10" ht="15.75" customHeight="1" x14ac:dyDescent="0.25">
      <c r="B2" s="47" t="s">
        <v>80</v>
      </c>
    </row>
    <row r="4" spans="2:10" ht="15.75" customHeight="1" x14ac:dyDescent="0.25">
      <c r="C4" s="103" t="s">
        <v>67</v>
      </c>
      <c r="D4" s="45">
        <v>23.64</v>
      </c>
      <c r="E4" s="13" t="s">
        <v>59</v>
      </c>
    </row>
    <row r="5" spans="2:10" ht="15.75" customHeight="1" x14ac:dyDescent="0.25">
      <c r="C5" s="103"/>
      <c r="D5" s="46">
        <f>D4/1000</f>
        <v>2.3640000000000001E-2</v>
      </c>
      <c r="E5" s="13" t="s">
        <v>81</v>
      </c>
    </row>
    <row r="7" spans="2:10" ht="15.75" customHeight="1" x14ac:dyDescent="0.25">
      <c r="B7" s="48" t="s">
        <v>123</v>
      </c>
    </row>
    <row r="9" spans="2:10" ht="15.75" customHeight="1" x14ac:dyDescent="0.25">
      <c r="C9" s="32" t="s">
        <v>122</v>
      </c>
    </row>
    <row r="10" spans="2:10" ht="15.75" customHeight="1" x14ac:dyDescent="0.25">
      <c r="C10" s="30" t="s">
        <v>119</v>
      </c>
      <c r="D10" s="40">
        <v>1398.6410000000001</v>
      </c>
      <c r="E10" s="25" t="s">
        <v>121</v>
      </c>
      <c r="F10" s="41" t="s">
        <v>216</v>
      </c>
      <c r="G10" s="56">
        <v>1241.3009999999999</v>
      </c>
      <c r="H10" s="91" t="s">
        <v>101</v>
      </c>
    </row>
    <row r="11" spans="2:10" ht="15.75" customHeight="1" x14ac:dyDescent="0.25">
      <c r="C11" s="30" t="s">
        <v>120</v>
      </c>
      <c r="D11" s="40">
        <v>1373.165</v>
      </c>
      <c r="E11" s="25" t="s">
        <v>121</v>
      </c>
      <c r="G11" s="56">
        <f>1.2*(D10-G10)</f>
        <v>188.80800000000016</v>
      </c>
      <c r="H11" s="91" t="s">
        <v>102</v>
      </c>
      <c r="I11">
        <v>50</v>
      </c>
      <c r="J11" s="41" t="s">
        <v>88</v>
      </c>
    </row>
    <row r="13" spans="2:10" ht="15.75" customHeight="1" x14ac:dyDescent="0.25">
      <c r="C13" s="41" t="s">
        <v>126</v>
      </c>
    </row>
    <row r="14" spans="2:10" ht="15.75" customHeight="1" x14ac:dyDescent="0.25">
      <c r="C14" s="30" t="s">
        <v>125</v>
      </c>
      <c r="D14" s="49">
        <f>+D10-D11</f>
        <v>25.476000000000113</v>
      </c>
      <c r="E14" s="25" t="s">
        <v>92</v>
      </c>
    </row>
    <row r="16" spans="2:10" ht="15.75" customHeight="1" x14ac:dyDescent="0.25">
      <c r="B16" s="48" t="s">
        <v>124</v>
      </c>
    </row>
    <row r="18" spans="2:5" ht="15.75" customHeight="1" x14ac:dyDescent="0.25">
      <c r="C18" s="103" t="s">
        <v>127</v>
      </c>
      <c r="D18" s="50">
        <f>1.2*(D10-D11)</f>
        <v>30.571200000000132</v>
      </c>
      <c r="E18" s="25" t="s">
        <v>137</v>
      </c>
    </row>
    <row r="19" spans="2:5" ht="15.75" customHeight="1" x14ac:dyDescent="0.25">
      <c r="C19" s="103"/>
      <c r="D19" s="49">
        <f>D18/10</f>
        <v>3.0571200000000132</v>
      </c>
      <c r="E19" s="25" t="s">
        <v>128</v>
      </c>
    </row>
    <row r="20" spans="2:5" ht="15.75" customHeight="1" x14ac:dyDescent="0.25">
      <c r="C20" s="103"/>
      <c r="D20" s="49">
        <f>+D19*14.223</f>
        <v>43.481417760000191</v>
      </c>
      <c r="E20" s="25" t="s">
        <v>129</v>
      </c>
    </row>
    <row r="21" spans="2:5" ht="15.75" customHeight="1" x14ac:dyDescent="0.25">
      <c r="C21" s="103"/>
      <c r="D21" s="49">
        <f>+D19*1.02</f>
        <v>3.1182624000000136</v>
      </c>
      <c r="E21" s="25" t="s">
        <v>130</v>
      </c>
    </row>
    <row r="23" spans="2:5" ht="15.75" customHeight="1" x14ac:dyDescent="0.25">
      <c r="C23" s="32" t="s">
        <v>131</v>
      </c>
      <c r="E23" s="54" t="s">
        <v>144</v>
      </c>
    </row>
    <row r="24" spans="2:5" ht="15.75" customHeight="1" x14ac:dyDescent="0.25">
      <c r="C24" s="30" t="s">
        <v>132</v>
      </c>
      <c r="D24" s="40" t="s">
        <v>213</v>
      </c>
    </row>
    <row r="26" spans="2:5" ht="15.75" customHeight="1" x14ac:dyDescent="0.25">
      <c r="B26" s="47" t="s">
        <v>133</v>
      </c>
    </row>
    <row r="28" spans="2:5" ht="15.75" customHeight="1" x14ac:dyDescent="0.25">
      <c r="C28" s="32" t="s">
        <v>116</v>
      </c>
    </row>
    <row r="29" spans="2:5" ht="15.75" customHeight="1" x14ac:dyDescent="0.25">
      <c r="C29" s="30" t="s">
        <v>82</v>
      </c>
      <c r="D29" s="24">
        <v>0.6</v>
      </c>
      <c r="E29" s="25" t="s">
        <v>83</v>
      </c>
    </row>
    <row r="30" spans="2:5" ht="15.75" customHeight="1" x14ac:dyDescent="0.25">
      <c r="C30" s="30" t="s">
        <v>84</v>
      </c>
      <c r="D30" s="29">
        <v>3</v>
      </c>
      <c r="E30" s="25" t="s">
        <v>85</v>
      </c>
    </row>
    <row r="32" spans="2:5" ht="15.75" customHeight="1" x14ac:dyDescent="0.25">
      <c r="C32" s="32" t="s">
        <v>117</v>
      </c>
    </row>
    <row r="33" spans="2:5" ht="15.75" customHeight="1" x14ac:dyDescent="0.25">
      <c r="C33" s="104" t="s">
        <v>86</v>
      </c>
      <c r="D33" s="31">
        <f>1/0.0254*SQRT(4*$D$5/(PI()*D29))</f>
        <v>8.8179869874459111</v>
      </c>
      <c r="E33" s="25" t="s">
        <v>87</v>
      </c>
    </row>
    <row r="34" spans="2:5" ht="15.75" customHeight="1" x14ac:dyDescent="0.25">
      <c r="C34" s="95"/>
      <c r="D34" s="24">
        <f>D33*25.4</f>
        <v>223.97686948112613</v>
      </c>
      <c r="E34" s="25" t="s">
        <v>88</v>
      </c>
    </row>
    <row r="35" spans="2:5" ht="15.75" customHeight="1" x14ac:dyDescent="0.25">
      <c r="C35" s="104" t="s">
        <v>89</v>
      </c>
      <c r="D35" s="31">
        <f>1/0.0254*SQRT(4*$D$5/(PI()*D30))</f>
        <v>3.9435236657275285</v>
      </c>
      <c r="E35" s="25" t="s">
        <v>87</v>
      </c>
    </row>
    <row r="36" spans="2:5" ht="15.75" customHeight="1" x14ac:dyDescent="0.25">
      <c r="C36" s="95"/>
      <c r="D36" s="24">
        <f>D35*25.4</f>
        <v>100.16550110947922</v>
      </c>
      <c r="E36" s="25" t="s">
        <v>88</v>
      </c>
    </row>
    <row r="38" spans="2:5" ht="15.75" customHeight="1" x14ac:dyDescent="0.25">
      <c r="B38" s="47" t="s">
        <v>90</v>
      </c>
    </row>
    <row r="40" spans="2:5" ht="15.75" customHeight="1" x14ac:dyDescent="0.25">
      <c r="C40" s="32" t="s">
        <v>91</v>
      </c>
    </row>
    <row r="41" spans="2:5" ht="15.75" customHeight="1" x14ac:dyDescent="0.25">
      <c r="C41" s="104" t="s">
        <v>89</v>
      </c>
      <c r="D41" s="29">
        <v>6</v>
      </c>
      <c r="E41" s="25" t="s">
        <v>87</v>
      </c>
    </row>
    <row r="42" spans="2:5" ht="15.75" customHeight="1" x14ac:dyDescent="0.25">
      <c r="C42" s="95"/>
      <c r="D42" s="19">
        <f>D41*25.4/1000</f>
        <v>0.15239999999999998</v>
      </c>
      <c r="E42" s="25" t="s">
        <v>92</v>
      </c>
    </row>
    <row r="44" spans="2:5" ht="15.75" customHeight="1" x14ac:dyDescent="0.25">
      <c r="C44" s="32" t="s">
        <v>93</v>
      </c>
    </row>
    <row r="45" spans="2:5" ht="15.75" customHeight="1" x14ac:dyDescent="0.25">
      <c r="C45" s="30" t="s">
        <v>94</v>
      </c>
      <c r="D45" s="33">
        <v>150</v>
      </c>
      <c r="E45" s="25" t="s">
        <v>95</v>
      </c>
    </row>
    <row r="47" spans="2:5" ht="15.75" customHeight="1" x14ac:dyDescent="0.25">
      <c r="C47" s="32" t="s">
        <v>214</v>
      </c>
    </row>
    <row r="48" spans="2:5" ht="15.75" customHeight="1" x14ac:dyDescent="0.25">
      <c r="C48" s="30" t="s">
        <v>96</v>
      </c>
      <c r="D48" s="29">
        <v>115</v>
      </c>
      <c r="E48" s="25" t="s">
        <v>92</v>
      </c>
    </row>
    <row r="50" spans="2:7" ht="15.75" customHeight="1" x14ac:dyDescent="0.25">
      <c r="C50" s="30" t="s">
        <v>97</v>
      </c>
      <c r="D50" s="34">
        <f>10.67*($D$5^1.852/($D$45^1.852*$D$42^4.871))*$D$48</f>
        <v>1.0627144657390202</v>
      </c>
      <c r="E50" s="25" t="s">
        <v>92</v>
      </c>
      <c r="F50" s="55" t="str">
        <f>IF(D50&gt;D14,"La carga disponible no puede transportar agua a la red de distribución, aumentar el diametro escogido","La carga total disponible puede transportar agua a la red de distribución. Todo OK")</f>
        <v>La carga total disponible puede transportar agua a la red de distribución. Todo OK</v>
      </c>
    </row>
    <row r="52" spans="2:7" ht="15.75" customHeight="1" x14ac:dyDescent="0.25">
      <c r="B52" s="47" t="s">
        <v>98</v>
      </c>
      <c r="G52" s="22"/>
    </row>
    <row r="54" spans="2:7" ht="15" x14ac:dyDescent="0.25">
      <c r="C54" s="32" t="s">
        <v>99</v>
      </c>
    </row>
    <row r="55" spans="2:7" ht="15" x14ac:dyDescent="0.25">
      <c r="C55" s="30" t="s">
        <v>100</v>
      </c>
      <c r="D55" s="34">
        <f>D5/(PI()*D42^2/4)</f>
        <v>1.2959482418460904</v>
      </c>
      <c r="E55" s="25" t="s">
        <v>83</v>
      </c>
      <c r="F55" s="51" t="s">
        <v>135</v>
      </c>
    </row>
    <row r="58" spans="2:7" ht="15.75" customHeight="1" x14ac:dyDescent="0.25">
      <c r="B58" s="48" t="s">
        <v>136</v>
      </c>
    </row>
    <row r="60" spans="2:7" ht="15" x14ac:dyDescent="0.25">
      <c r="C60" s="32" t="s">
        <v>215</v>
      </c>
    </row>
    <row r="61" spans="2:7" ht="15" x14ac:dyDescent="0.25">
      <c r="C61" s="36" t="s">
        <v>94</v>
      </c>
      <c r="D61" s="52">
        <f>+D45</f>
        <v>150</v>
      </c>
    </row>
    <row r="62" spans="2:7" ht="15" x14ac:dyDescent="0.25">
      <c r="C62" s="36" t="s">
        <v>55</v>
      </c>
      <c r="D62" s="37">
        <f>D41</f>
        <v>6</v>
      </c>
      <c r="E62" s="25" t="s">
        <v>87</v>
      </c>
    </row>
    <row r="63" spans="2:7" ht="15" x14ac:dyDescent="0.25">
      <c r="C63" s="42" t="s">
        <v>67</v>
      </c>
      <c r="D63" s="37">
        <f>+D5</f>
        <v>2.3640000000000001E-2</v>
      </c>
      <c r="E63" s="25" t="s">
        <v>81</v>
      </c>
    </row>
    <row r="64" spans="2:7" ht="15" x14ac:dyDescent="0.25">
      <c r="E64" s="25"/>
    </row>
    <row r="65" spans="3:16" ht="15.75" customHeight="1" x14ac:dyDescent="0.25">
      <c r="M65" s="41" t="s">
        <v>224</v>
      </c>
      <c r="N65" s="41" t="s">
        <v>141</v>
      </c>
      <c r="P65" s="41" t="s">
        <v>139</v>
      </c>
    </row>
    <row r="66" spans="3:16" ht="15.75" customHeight="1" x14ac:dyDescent="0.25">
      <c r="C66" s="39" t="s">
        <v>104</v>
      </c>
      <c r="D66" s="39" t="s">
        <v>106</v>
      </c>
      <c r="E66" s="43" t="s">
        <v>107</v>
      </c>
      <c r="F66" s="39" t="s">
        <v>94</v>
      </c>
      <c r="G66" s="43" t="s">
        <v>109</v>
      </c>
      <c r="H66" s="43" t="s">
        <v>108</v>
      </c>
      <c r="I66" s="43" t="s">
        <v>110</v>
      </c>
      <c r="K66" s="43" t="s">
        <v>111</v>
      </c>
      <c r="L66" s="43" t="s">
        <v>115</v>
      </c>
      <c r="M66" s="43" t="s">
        <v>113</v>
      </c>
      <c r="N66" s="43" t="s">
        <v>112</v>
      </c>
      <c r="O66" s="43" t="s">
        <v>114</v>
      </c>
      <c r="P66" s="43" t="s">
        <v>140</v>
      </c>
    </row>
    <row r="67" spans="3:16" ht="15.75" customHeight="1" x14ac:dyDescent="0.25">
      <c r="C67" s="36">
        <v>1</v>
      </c>
      <c r="D67" s="44">
        <f>+D48</f>
        <v>115</v>
      </c>
      <c r="E67" s="36">
        <f t="shared" ref="E67" si="0">+$D$62*0.0254</f>
        <v>0.15239999999999998</v>
      </c>
      <c r="F67" s="36">
        <f t="shared" ref="F67" si="1">$D$61</f>
        <v>150</v>
      </c>
      <c r="G67" s="37">
        <f t="shared" ref="G67" si="2">+$D$63</f>
        <v>2.3640000000000001E-2</v>
      </c>
      <c r="H67" s="37">
        <f>+G67/(PI()*E67^2/4)</f>
        <v>1.2959482418460904</v>
      </c>
      <c r="I67" s="37">
        <f>10.67*G67^1.852*D67/F67^1.852/E67^4.871</f>
        <v>1.0627144657390204</v>
      </c>
      <c r="K67" s="42">
        <v>1</v>
      </c>
      <c r="L67" s="40">
        <v>0</v>
      </c>
      <c r="M67" s="40">
        <f>+D10</f>
        <v>1398.6410000000001</v>
      </c>
      <c r="N67" s="36">
        <f>+M67</f>
        <v>1398.6410000000001</v>
      </c>
      <c r="O67" s="37">
        <f>+N67-M67</f>
        <v>0</v>
      </c>
      <c r="P67" s="36">
        <f>+$M$67</f>
        <v>1398.6410000000001</v>
      </c>
    </row>
    <row r="68" spans="3:16" ht="15.75" customHeight="1" x14ac:dyDescent="0.25">
      <c r="C68" s="36"/>
      <c r="D68" s="44"/>
      <c r="E68" s="36"/>
      <c r="F68" s="36"/>
      <c r="G68" s="37"/>
      <c r="H68" s="37"/>
      <c r="I68" s="37"/>
      <c r="K68" s="36">
        <f>+K67+1</f>
        <v>2</v>
      </c>
      <c r="L68" s="44">
        <f>+D67</f>
        <v>115</v>
      </c>
      <c r="M68" s="40">
        <f>+D11</f>
        <v>1373.165</v>
      </c>
      <c r="N68" s="37">
        <f t="shared" ref="N68" si="3">N67-I67</f>
        <v>1397.5782855342611</v>
      </c>
      <c r="O68" s="37">
        <f t="shared" ref="O68" si="4">+N68-M68</f>
        <v>24.413285534261149</v>
      </c>
      <c r="P68" s="36">
        <f t="shared" ref="P68" si="5">+$M$67</f>
        <v>1398.6410000000001</v>
      </c>
    </row>
  </sheetData>
  <mergeCells count="5">
    <mergeCell ref="C4:C5"/>
    <mergeCell ref="C18:C21"/>
    <mergeCell ref="C33:C34"/>
    <mergeCell ref="C35:C36"/>
    <mergeCell ref="C41:C42"/>
  </mergeCells>
  <conditionalFormatting sqref="F50">
    <cfRule type="expression" dxfId="1" priority="1">
      <formula>$D$50&lt;=$D$14</formula>
    </cfRule>
    <cfRule type="expression" dxfId="0" priority="2">
      <formula>$D$50&gt;$D$14</formula>
    </cfRule>
  </conditionalFormatting>
  <hyperlinks>
    <hyperlink ref="E23" r:id="rId1" xr:uid="{33BC5695-CB0B-47A5-9DF6-1E1A2D7E3D80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L62"/>
  <sheetViews>
    <sheetView zoomScale="95" zoomScaleNormal="95" workbookViewId="0"/>
  </sheetViews>
  <sheetFormatPr baseColWidth="10" defaultColWidth="12.5703125" defaultRowHeight="15.75" customHeight="1" x14ac:dyDescent="0.2"/>
  <cols>
    <col min="8" max="8" width="16" bestFit="1" customWidth="1"/>
  </cols>
  <sheetData>
    <row r="1" spans="2:12" ht="15.75" customHeight="1" x14ac:dyDescent="0.2">
      <c r="B1" s="35" t="s">
        <v>103</v>
      </c>
    </row>
    <row r="2" spans="2:12" ht="15.75" customHeight="1" thickBot="1" x14ac:dyDescent="0.25"/>
    <row r="3" spans="2:12" ht="15.6" customHeight="1" thickBot="1" x14ac:dyDescent="0.3">
      <c r="B3" s="108" t="s">
        <v>145</v>
      </c>
      <c r="C3" s="109"/>
      <c r="D3" s="109"/>
      <c r="E3" s="109"/>
      <c r="F3" s="109"/>
      <c r="G3" s="109"/>
      <c r="H3" s="109"/>
      <c r="I3" s="109"/>
      <c r="J3" s="109"/>
      <c r="K3" s="109"/>
      <c r="L3" s="110"/>
    </row>
    <row r="4" spans="2:12" ht="15.75" customHeight="1" x14ac:dyDescent="0.2">
      <c r="B4" s="57"/>
      <c r="C4" s="58" t="s">
        <v>146</v>
      </c>
      <c r="D4" s="57"/>
      <c r="E4" s="57"/>
      <c r="F4" s="57"/>
      <c r="G4" s="58" t="s">
        <v>147</v>
      </c>
      <c r="H4" s="57"/>
      <c r="I4" s="57"/>
      <c r="J4" s="57"/>
      <c r="K4" s="57"/>
      <c r="L4" s="57"/>
    </row>
    <row r="5" spans="2:12" ht="15.75" customHeight="1" x14ac:dyDescent="0.2">
      <c r="B5" s="57"/>
      <c r="C5" s="58" t="s">
        <v>148</v>
      </c>
      <c r="D5" s="57"/>
      <c r="E5" s="57"/>
      <c r="F5" s="57"/>
      <c r="G5" s="58" t="s">
        <v>149</v>
      </c>
      <c r="H5" s="57"/>
      <c r="I5" s="57"/>
      <c r="J5" s="57"/>
      <c r="K5" s="57"/>
      <c r="L5" s="57"/>
    </row>
    <row r="6" spans="2:12" ht="15.75" customHeight="1" thickBot="1" x14ac:dyDescent="0.25">
      <c r="B6" s="59"/>
      <c r="C6" s="60" t="s">
        <v>150</v>
      </c>
      <c r="D6" s="59"/>
      <c r="E6" s="59"/>
      <c r="F6" s="59"/>
      <c r="G6" s="60" t="s">
        <v>151</v>
      </c>
      <c r="H6" s="59"/>
      <c r="I6" s="59"/>
      <c r="J6" s="59"/>
      <c r="K6" s="59"/>
      <c r="L6" s="59"/>
    </row>
    <row r="7" spans="2:12" ht="15.6" customHeight="1" thickBot="1" x14ac:dyDescent="0.3">
      <c r="B7" s="105" t="s">
        <v>212</v>
      </c>
      <c r="C7" s="106"/>
      <c r="D7" s="106"/>
      <c r="E7" s="106"/>
      <c r="F7" s="106"/>
      <c r="G7" s="106"/>
      <c r="H7" s="106"/>
      <c r="I7" s="106"/>
      <c r="J7" s="106"/>
      <c r="K7" s="106"/>
      <c r="L7" s="107"/>
    </row>
    <row r="8" spans="2:12" ht="15.75" customHeight="1" x14ac:dyDescent="0.2">
      <c r="B8" s="61" t="s">
        <v>152</v>
      </c>
      <c r="C8" s="57"/>
      <c r="D8" s="57"/>
      <c r="E8" s="57"/>
      <c r="F8" s="57"/>
      <c r="G8" s="57"/>
      <c r="H8" s="57"/>
      <c r="I8" s="57"/>
      <c r="J8" s="57"/>
      <c r="K8" s="57"/>
      <c r="L8" s="57"/>
    </row>
    <row r="9" spans="2:12" ht="15.75" customHeight="1" x14ac:dyDescent="0.25">
      <c r="B9" s="57"/>
      <c r="C9" s="62" t="s">
        <v>153</v>
      </c>
      <c r="D9" s="57"/>
      <c r="E9" s="57"/>
      <c r="F9" s="57"/>
      <c r="G9" s="63" t="s">
        <v>154</v>
      </c>
      <c r="H9" s="64">
        <v>300</v>
      </c>
      <c r="I9" s="62" t="s">
        <v>155</v>
      </c>
      <c r="J9" s="57"/>
      <c r="K9" s="57"/>
      <c r="L9" s="57"/>
    </row>
    <row r="10" spans="2:12" ht="15.75" customHeight="1" x14ac:dyDescent="0.25">
      <c r="B10" s="57"/>
      <c r="C10" s="58" t="s">
        <v>156</v>
      </c>
      <c r="D10" s="57"/>
      <c r="E10" s="57"/>
      <c r="F10" s="57"/>
      <c r="G10" s="63" t="s">
        <v>157</v>
      </c>
      <c r="H10" s="64">
        <v>6.5</v>
      </c>
      <c r="I10" s="62" t="s">
        <v>92</v>
      </c>
      <c r="J10" s="57"/>
      <c r="K10" s="57"/>
      <c r="L10" s="57"/>
    </row>
    <row r="11" spans="2:12" ht="15.75" customHeight="1" x14ac:dyDescent="0.25">
      <c r="B11" s="57"/>
      <c r="C11" s="58" t="s">
        <v>158</v>
      </c>
      <c r="D11" s="57"/>
      <c r="E11" s="57"/>
      <c r="F11" s="57"/>
      <c r="G11" s="63" t="s">
        <v>159</v>
      </c>
      <c r="H11" s="64">
        <v>0.3</v>
      </c>
      <c r="I11" s="62" t="s">
        <v>92</v>
      </c>
      <c r="J11" s="57"/>
      <c r="K11" s="57"/>
      <c r="L11" s="57"/>
    </row>
    <row r="12" spans="2:12" ht="15.75" customHeight="1" x14ac:dyDescent="0.25">
      <c r="B12" s="57"/>
      <c r="C12" s="65" t="s">
        <v>160</v>
      </c>
      <c r="D12" s="57"/>
      <c r="E12" s="57"/>
      <c r="F12" s="57"/>
      <c r="G12" s="63" t="s">
        <v>161</v>
      </c>
      <c r="H12" s="64">
        <f>H11+H10</f>
        <v>6.8</v>
      </c>
      <c r="I12" s="62" t="s">
        <v>92</v>
      </c>
      <c r="J12" s="57"/>
      <c r="K12" s="57"/>
      <c r="L12" s="57"/>
    </row>
    <row r="13" spans="2:12" ht="15.75" customHeight="1" x14ac:dyDescent="0.25">
      <c r="B13" s="57"/>
      <c r="C13" s="65" t="s">
        <v>162</v>
      </c>
      <c r="D13" s="57"/>
      <c r="E13" s="57"/>
      <c r="F13" s="57"/>
      <c r="G13" s="66" t="s">
        <v>163</v>
      </c>
      <c r="H13" s="89">
        <f>H9/H10</f>
        <v>46.153846153846153</v>
      </c>
      <c r="I13" s="62" t="s">
        <v>180</v>
      </c>
      <c r="J13" s="57"/>
      <c r="K13" s="57"/>
      <c r="L13" s="57"/>
    </row>
    <row r="14" spans="2:12" ht="15.75" customHeight="1" x14ac:dyDescent="0.25">
      <c r="B14" s="62" t="s">
        <v>164</v>
      </c>
      <c r="C14" s="57"/>
      <c r="D14" s="57"/>
      <c r="E14" s="57"/>
      <c r="F14" s="57"/>
      <c r="G14" s="63" t="s">
        <v>165</v>
      </c>
      <c r="H14" s="90">
        <f>SQRT((4*H9)/(PI()*(H10)))</f>
        <v>7.6658269002567367</v>
      </c>
      <c r="I14" s="62" t="s">
        <v>92</v>
      </c>
      <c r="J14" s="57"/>
      <c r="K14" s="57"/>
      <c r="L14" s="57"/>
    </row>
    <row r="15" spans="2:12" ht="15.75" customHeight="1" x14ac:dyDescent="0.25">
      <c r="B15" s="57"/>
      <c r="C15" s="57"/>
      <c r="D15" s="57"/>
      <c r="E15" s="57"/>
      <c r="F15" s="57"/>
      <c r="G15" s="63" t="s">
        <v>165</v>
      </c>
      <c r="H15" s="64">
        <f>ROUND(H14,1)</f>
        <v>7.7</v>
      </c>
      <c r="I15" s="62" t="s">
        <v>92</v>
      </c>
      <c r="J15" s="57"/>
      <c r="K15" s="57"/>
      <c r="L15" s="57"/>
    </row>
    <row r="16" spans="2:12" ht="15.75" customHeight="1" thickBot="1" x14ac:dyDescent="0.3">
      <c r="B16" s="59"/>
      <c r="C16" s="59"/>
      <c r="D16" s="59"/>
      <c r="E16" s="59"/>
      <c r="F16" s="59"/>
      <c r="G16" s="68" t="s">
        <v>166</v>
      </c>
      <c r="H16" s="69">
        <f>+H15/2</f>
        <v>3.85</v>
      </c>
      <c r="I16" s="70" t="s">
        <v>92</v>
      </c>
      <c r="J16" s="59"/>
      <c r="K16" s="59"/>
      <c r="L16" s="59"/>
    </row>
    <row r="17" spans="2:12" ht="15.6" customHeight="1" thickBot="1" x14ac:dyDescent="0.3">
      <c r="B17" s="105" t="s">
        <v>167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7"/>
    </row>
    <row r="18" spans="2:12" ht="15.75" customHeight="1" x14ac:dyDescent="0.2">
      <c r="B18" s="71" t="s">
        <v>168</v>
      </c>
      <c r="C18" s="72"/>
      <c r="D18" s="72"/>
      <c r="E18" s="72"/>
      <c r="F18" s="72"/>
      <c r="G18" s="72"/>
      <c r="H18" s="72"/>
      <c r="I18" s="72"/>
      <c r="J18" s="72"/>
      <c r="K18" s="72"/>
      <c r="L18" s="72"/>
    </row>
    <row r="19" spans="2:12" ht="15.75" customHeight="1" x14ac:dyDescent="0.25">
      <c r="B19" s="72"/>
      <c r="C19" s="73" t="s">
        <v>99</v>
      </c>
      <c r="D19" s="57"/>
      <c r="E19" s="57"/>
      <c r="F19" s="57"/>
      <c r="G19" s="63" t="s">
        <v>154</v>
      </c>
      <c r="H19" s="64">
        <v>1.5</v>
      </c>
      <c r="I19" s="73" t="s">
        <v>83</v>
      </c>
      <c r="J19" s="72"/>
      <c r="K19" s="72"/>
      <c r="L19" s="72"/>
    </row>
    <row r="20" spans="2:12" ht="15.75" customHeight="1" x14ac:dyDescent="0.2">
      <c r="B20" s="72"/>
      <c r="C20" s="65" t="s">
        <v>169</v>
      </c>
      <c r="D20" s="57"/>
      <c r="E20" s="57"/>
      <c r="F20" s="57"/>
      <c r="G20" s="66" t="s">
        <v>170</v>
      </c>
      <c r="H20" s="64">
        <v>1.54E-2</v>
      </c>
      <c r="I20" s="73" t="s">
        <v>81</v>
      </c>
      <c r="J20" s="72"/>
      <c r="K20" s="72"/>
      <c r="L20" s="72"/>
    </row>
    <row r="21" spans="2:12" ht="15.75" customHeight="1" x14ac:dyDescent="0.25">
      <c r="B21" s="62" t="s">
        <v>164</v>
      </c>
      <c r="C21" s="57"/>
      <c r="D21" s="57"/>
      <c r="E21" s="57"/>
      <c r="F21" s="57"/>
      <c r="G21" s="57"/>
      <c r="H21" s="57"/>
      <c r="I21" s="57"/>
      <c r="J21" s="72"/>
      <c r="K21" s="72"/>
      <c r="L21" s="72"/>
    </row>
    <row r="22" spans="2:12" ht="15.75" customHeight="1" x14ac:dyDescent="0.25">
      <c r="B22" s="72"/>
      <c r="C22" s="57"/>
      <c r="D22" s="57"/>
      <c r="E22" s="57"/>
      <c r="F22" s="57"/>
      <c r="G22" s="63" t="s">
        <v>165</v>
      </c>
      <c r="H22" s="67">
        <f>SQRT((4*H20)/(PI()*H19))</f>
        <v>0.11433252377435887</v>
      </c>
      <c r="I22" s="73" t="s">
        <v>92</v>
      </c>
      <c r="J22" s="74">
        <f>H22*39.37</f>
        <v>4.5012714609965085</v>
      </c>
      <c r="K22" s="75" t="s">
        <v>171</v>
      </c>
      <c r="L22" s="72"/>
    </row>
    <row r="23" spans="2:12" ht="15.75" customHeight="1" x14ac:dyDescent="0.25">
      <c r="B23" s="76" t="s">
        <v>172</v>
      </c>
      <c r="C23" s="77"/>
      <c r="D23" s="77"/>
      <c r="E23" s="77"/>
      <c r="F23" s="77"/>
      <c r="G23" s="77"/>
      <c r="H23" s="78">
        <v>6</v>
      </c>
      <c r="I23" s="72"/>
      <c r="J23" s="72"/>
      <c r="K23" s="72"/>
      <c r="L23" s="72"/>
    </row>
    <row r="24" spans="2:12" ht="15.75" customHeight="1" thickBot="1" x14ac:dyDescent="0.25"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</row>
    <row r="25" spans="2:12" ht="15.6" customHeight="1" thickBot="1" x14ac:dyDescent="0.3">
      <c r="B25" s="105" t="s">
        <v>173</v>
      </c>
      <c r="C25" s="106"/>
      <c r="D25" s="106"/>
      <c r="E25" s="106"/>
      <c r="F25" s="106"/>
      <c r="G25" s="106"/>
      <c r="H25" s="106"/>
      <c r="I25" s="106"/>
      <c r="J25" s="106"/>
      <c r="K25" s="106"/>
      <c r="L25" s="107"/>
    </row>
    <row r="26" spans="2:12" ht="15.75" customHeight="1" x14ac:dyDescent="0.2">
      <c r="B26" s="71" t="s">
        <v>174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</row>
    <row r="27" spans="2:12" ht="15.75" customHeight="1" x14ac:dyDescent="0.25">
      <c r="B27" s="72"/>
      <c r="C27" s="73" t="s">
        <v>99</v>
      </c>
      <c r="D27" s="57"/>
      <c r="E27" s="57"/>
      <c r="F27" s="57"/>
      <c r="G27" s="63" t="s">
        <v>154</v>
      </c>
      <c r="H27" s="64">
        <v>1.5</v>
      </c>
      <c r="I27" s="73" t="s">
        <v>83</v>
      </c>
      <c r="J27" s="72"/>
      <c r="K27" s="72"/>
      <c r="L27" s="72"/>
    </row>
    <row r="28" spans="2:12" ht="15.75" customHeight="1" x14ac:dyDescent="0.2">
      <c r="B28" s="72"/>
      <c r="C28" s="65" t="s">
        <v>169</v>
      </c>
      <c r="D28" s="57"/>
      <c r="E28" s="57"/>
      <c r="F28" s="57"/>
      <c r="G28" s="66" t="s">
        <v>175</v>
      </c>
      <c r="H28" s="64">
        <v>2.3699999999999999E-2</v>
      </c>
      <c r="I28" s="73" t="s">
        <v>81</v>
      </c>
      <c r="J28" s="72"/>
      <c r="K28" s="72"/>
      <c r="L28" s="72"/>
    </row>
    <row r="29" spans="2:12" ht="15.75" customHeight="1" x14ac:dyDescent="0.25">
      <c r="B29" s="62" t="s">
        <v>164</v>
      </c>
      <c r="C29" s="57"/>
      <c r="D29" s="57"/>
      <c r="E29" s="57"/>
      <c r="F29" s="57"/>
      <c r="G29" s="57"/>
      <c r="H29" s="57"/>
      <c r="I29" s="57"/>
      <c r="J29" s="72"/>
      <c r="K29" s="72"/>
      <c r="L29" s="72"/>
    </row>
    <row r="30" spans="2:12" ht="15.75" customHeight="1" x14ac:dyDescent="0.25">
      <c r="B30" s="72"/>
      <c r="C30" s="57"/>
      <c r="D30" s="57"/>
      <c r="E30" s="57"/>
      <c r="F30" s="57"/>
      <c r="G30" s="63" t="s">
        <v>165</v>
      </c>
      <c r="H30" s="67">
        <f>SQRT((4*H28)/(PI()*H27))</f>
        <v>0.14183506197980655</v>
      </c>
      <c r="I30" s="73" t="s">
        <v>92</v>
      </c>
      <c r="J30" s="74">
        <f>H30*39.37</f>
        <v>5.5840463901449837</v>
      </c>
      <c r="K30" s="75" t="s">
        <v>171</v>
      </c>
      <c r="L30" s="72"/>
    </row>
    <row r="31" spans="2:12" ht="15.75" customHeight="1" x14ac:dyDescent="0.25">
      <c r="B31" s="76" t="s">
        <v>172</v>
      </c>
      <c r="C31" s="77"/>
      <c r="D31" s="77"/>
      <c r="E31" s="77"/>
      <c r="F31" s="77"/>
      <c r="G31" s="77"/>
      <c r="H31" s="78">
        <v>6</v>
      </c>
      <c r="I31" s="72"/>
      <c r="J31" s="72"/>
      <c r="K31" s="72"/>
      <c r="L31" s="72"/>
    </row>
    <row r="32" spans="2:12" ht="15.75" customHeight="1" thickBot="1" x14ac:dyDescent="0.25"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</row>
    <row r="33" spans="2:12" ht="15.6" customHeight="1" thickBot="1" x14ac:dyDescent="0.3">
      <c r="B33" s="105" t="s">
        <v>176</v>
      </c>
      <c r="C33" s="106"/>
      <c r="D33" s="106"/>
      <c r="E33" s="106"/>
      <c r="F33" s="106"/>
      <c r="G33" s="106"/>
      <c r="H33" s="106"/>
      <c r="I33" s="106"/>
      <c r="J33" s="106"/>
      <c r="K33" s="106"/>
      <c r="L33" s="107"/>
    </row>
    <row r="34" spans="2:12" ht="15.75" customHeight="1" x14ac:dyDescent="0.2">
      <c r="B34" s="71" t="s">
        <v>177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</row>
    <row r="35" spans="2:12" ht="15.75" customHeight="1" x14ac:dyDescent="0.2">
      <c r="B35" s="72"/>
      <c r="C35" s="65" t="s">
        <v>178</v>
      </c>
      <c r="D35" s="57"/>
      <c r="E35" s="57"/>
      <c r="F35" s="57"/>
      <c r="G35" s="66" t="s">
        <v>179</v>
      </c>
      <c r="H35" s="64">
        <f>H9/H10</f>
        <v>46.153846153846153</v>
      </c>
      <c r="I35" s="73" t="s">
        <v>180</v>
      </c>
      <c r="J35" s="72"/>
      <c r="K35" s="72"/>
      <c r="L35" s="72"/>
    </row>
    <row r="36" spans="2:12" ht="15.75" customHeight="1" x14ac:dyDescent="0.2">
      <c r="B36" s="72"/>
      <c r="C36" s="73" t="s">
        <v>181</v>
      </c>
      <c r="D36" s="57"/>
      <c r="E36" s="57"/>
      <c r="F36" s="57"/>
      <c r="G36" s="66" t="s">
        <v>157</v>
      </c>
      <c r="H36" s="64">
        <v>4</v>
      </c>
      <c r="I36" s="73" t="s">
        <v>92</v>
      </c>
      <c r="J36" s="72"/>
      <c r="K36" s="72"/>
      <c r="L36" s="72"/>
    </row>
    <row r="37" spans="2:12" ht="15.75" customHeight="1" x14ac:dyDescent="0.2">
      <c r="B37" s="57"/>
      <c r="C37" s="73" t="s">
        <v>182</v>
      </c>
      <c r="D37" s="57"/>
      <c r="E37" s="57"/>
      <c r="F37" s="57"/>
      <c r="G37" s="57"/>
      <c r="H37" s="64">
        <v>0.6</v>
      </c>
      <c r="I37" s="57"/>
      <c r="J37" s="72"/>
      <c r="K37" s="72"/>
      <c r="L37" s="72"/>
    </row>
    <row r="38" spans="2:12" ht="15.75" customHeight="1" x14ac:dyDescent="0.2">
      <c r="B38" s="72"/>
      <c r="C38" s="73" t="s">
        <v>183</v>
      </c>
      <c r="D38" s="57"/>
      <c r="E38" s="57"/>
      <c r="F38" s="57"/>
      <c r="G38" s="57"/>
      <c r="H38" s="64">
        <v>9.81</v>
      </c>
      <c r="I38" s="73" t="s">
        <v>184</v>
      </c>
      <c r="J38" s="72"/>
      <c r="K38" s="72"/>
      <c r="L38" s="72"/>
    </row>
    <row r="39" spans="2:12" ht="15.75" customHeight="1" x14ac:dyDescent="0.2">
      <c r="B39" s="65" t="s">
        <v>185</v>
      </c>
      <c r="C39" s="72"/>
      <c r="D39" s="72"/>
      <c r="E39" s="72"/>
      <c r="F39" s="72"/>
      <c r="G39" s="72"/>
      <c r="H39" s="72"/>
      <c r="I39" s="72"/>
      <c r="J39" s="72"/>
      <c r="K39" s="72"/>
      <c r="L39" s="72"/>
    </row>
    <row r="40" spans="2:12" ht="15.75" customHeight="1" x14ac:dyDescent="0.25">
      <c r="B40" s="72"/>
      <c r="C40" s="75" t="s">
        <v>186</v>
      </c>
      <c r="D40" s="72"/>
      <c r="E40" s="72"/>
      <c r="F40" s="72"/>
      <c r="G40" s="66" t="s">
        <v>179</v>
      </c>
      <c r="H40" s="74">
        <f>(2 *H35  * SQRT(H36)) / (0.6 * 7200 * SQRT(2 * 9.81))</f>
        <v>9.6479410467036515E-3</v>
      </c>
      <c r="I40" s="75" t="s">
        <v>180</v>
      </c>
      <c r="J40" s="72"/>
      <c r="K40" s="72"/>
      <c r="L40" s="72"/>
    </row>
    <row r="41" spans="2:12" ht="15.75" customHeight="1" x14ac:dyDescent="0.25">
      <c r="B41" s="72"/>
      <c r="C41" s="75" t="s">
        <v>187</v>
      </c>
      <c r="D41" s="72"/>
      <c r="E41" s="72"/>
      <c r="F41" s="72"/>
      <c r="G41" s="66" t="s">
        <v>165</v>
      </c>
      <c r="H41" s="74">
        <f>SQRT((4 * ((2 *H35  * SQRT(H36)) / (0.6 * 7200 * SQRT(2 * 9.81)))) / PI()) * 39.37</f>
        <v>4.3635282766778989</v>
      </c>
      <c r="I41" s="75" t="s">
        <v>171</v>
      </c>
      <c r="J41" s="72"/>
      <c r="K41" s="72"/>
      <c r="L41" s="72"/>
    </row>
    <row r="42" spans="2:12" ht="15.75" customHeight="1" thickBot="1" x14ac:dyDescent="0.3">
      <c r="B42" s="80" t="s">
        <v>188</v>
      </c>
      <c r="C42" s="81"/>
      <c r="D42" s="81"/>
      <c r="E42" s="81"/>
      <c r="F42" s="81"/>
      <c r="G42" s="81"/>
      <c r="H42" s="82">
        <v>6</v>
      </c>
      <c r="I42" s="81"/>
      <c r="J42" s="79"/>
      <c r="K42" s="79"/>
      <c r="L42" s="79"/>
    </row>
    <row r="43" spans="2:12" ht="15.6" customHeight="1" thickBot="1" x14ac:dyDescent="0.3">
      <c r="B43" s="105" t="s">
        <v>189</v>
      </c>
      <c r="C43" s="106"/>
      <c r="D43" s="106"/>
      <c r="E43" s="106"/>
      <c r="F43" s="106"/>
      <c r="G43" s="106"/>
      <c r="H43" s="106"/>
      <c r="I43" s="106"/>
      <c r="J43" s="106"/>
      <c r="K43" s="106"/>
      <c r="L43" s="107"/>
    </row>
    <row r="44" spans="2:12" ht="15.75" customHeight="1" x14ac:dyDescent="0.2">
      <c r="B44" s="71" t="s">
        <v>190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</row>
    <row r="45" spans="2:12" ht="15.75" customHeight="1" x14ac:dyDescent="0.2">
      <c r="B45" s="72"/>
      <c r="C45" s="65" t="s">
        <v>191</v>
      </c>
      <c r="D45" s="57"/>
      <c r="E45" s="57"/>
      <c r="F45" s="57"/>
      <c r="G45" s="66" t="s">
        <v>192</v>
      </c>
      <c r="H45" s="64">
        <f>2*H31</f>
        <v>12</v>
      </c>
      <c r="I45" s="73" t="s">
        <v>171</v>
      </c>
      <c r="J45" s="72"/>
      <c r="K45" s="72"/>
      <c r="L45" s="72"/>
    </row>
    <row r="46" spans="2:12" ht="15.75" customHeight="1" x14ac:dyDescent="0.2">
      <c r="B46" s="72"/>
      <c r="C46" s="65" t="s">
        <v>193</v>
      </c>
      <c r="D46" s="57"/>
      <c r="E46" s="57"/>
      <c r="F46" s="57"/>
      <c r="G46" s="66" t="s">
        <v>194</v>
      </c>
      <c r="H46" s="64">
        <f>3*H45</f>
        <v>36</v>
      </c>
      <c r="I46" s="73" t="s">
        <v>171</v>
      </c>
      <c r="J46" s="72"/>
      <c r="K46" s="72"/>
      <c r="L46" s="72"/>
    </row>
    <row r="47" spans="2:12" ht="15.75" customHeight="1" x14ac:dyDescent="0.2">
      <c r="B47" s="57"/>
      <c r="C47" s="65" t="s">
        <v>195</v>
      </c>
      <c r="D47" s="57"/>
      <c r="E47" s="57"/>
      <c r="F47" s="57"/>
      <c r="G47" s="66" t="s">
        <v>196</v>
      </c>
      <c r="H47" s="64">
        <f>6*H45</f>
        <v>72</v>
      </c>
      <c r="I47" s="73" t="s">
        <v>171</v>
      </c>
      <c r="J47" s="72"/>
      <c r="K47" s="72"/>
      <c r="L47" s="72"/>
    </row>
    <row r="48" spans="2:12" ht="15.75" customHeight="1" thickBot="1" x14ac:dyDescent="0.3">
      <c r="B48" s="83" t="s">
        <v>197</v>
      </c>
      <c r="C48" s="81"/>
      <c r="D48" s="81"/>
      <c r="E48" s="81"/>
      <c r="F48" s="81"/>
      <c r="G48" s="81"/>
      <c r="H48" s="84">
        <v>20</v>
      </c>
      <c r="I48" s="85" t="s">
        <v>171</v>
      </c>
      <c r="J48" s="79"/>
      <c r="K48" s="86" t="s">
        <v>171</v>
      </c>
      <c r="L48" s="79"/>
    </row>
    <row r="49" spans="2:12" ht="15.6" customHeight="1" thickBot="1" x14ac:dyDescent="0.3">
      <c r="B49" s="105" t="s">
        <v>198</v>
      </c>
      <c r="C49" s="106"/>
      <c r="D49" s="106"/>
      <c r="E49" s="106"/>
      <c r="F49" s="106"/>
      <c r="G49" s="106"/>
      <c r="H49" s="106"/>
      <c r="I49" s="106"/>
      <c r="J49" s="106"/>
      <c r="K49" s="106"/>
      <c r="L49" s="107"/>
    </row>
    <row r="50" spans="2:12" ht="15.75" customHeight="1" x14ac:dyDescent="0.2">
      <c r="B50" s="71" t="s">
        <v>199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</row>
    <row r="51" spans="2:12" ht="15.75" customHeight="1" x14ac:dyDescent="0.2">
      <c r="B51" s="72"/>
      <c r="C51" s="73" t="s">
        <v>63</v>
      </c>
      <c r="D51" s="57"/>
      <c r="E51" s="57"/>
      <c r="F51" s="57"/>
      <c r="G51" s="66" t="s">
        <v>200</v>
      </c>
      <c r="H51" s="64">
        <v>15.36</v>
      </c>
      <c r="I51" s="73" t="s">
        <v>201</v>
      </c>
      <c r="J51" s="72"/>
      <c r="K51" s="72"/>
      <c r="L51" s="72"/>
    </row>
    <row r="52" spans="2:12" ht="15.75" customHeight="1" x14ac:dyDescent="0.2">
      <c r="B52" s="72"/>
      <c r="C52" s="73" t="s">
        <v>202</v>
      </c>
      <c r="D52" s="57"/>
      <c r="E52" s="57"/>
      <c r="F52" s="57"/>
      <c r="G52" s="57"/>
      <c r="H52" s="64">
        <v>1.5</v>
      </c>
      <c r="I52" s="73" t="s">
        <v>203</v>
      </c>
      <c r="J52" s="72"/>
      <c r="K52" s="72"/>
      <c r="L52" s="72"/>
    </row>
    <row r="53" spans="2:12" ht="15.75" customHeight="1" x14ac:dyDescent="0.2">
      <c r="B53" s="57"/>
      <c r="C53" s="73" t="s">
        <v>204</v>
      </c>
      <c r="D53" s="57"/>
      <c r="E53" s="57"/>
      <c r="F53" s="57"/>
      <c r="G53" s="57"/>
      <c r="H53" s="64">
        <v>65</v>
      </c>
      <c r="I53" s="73" t="s">
        <v>205</v>
      </c>
      <c r="J53" s="72"/>
      <c r="K53" s="72"/>
      <c r="L53" s="72"/>
    </row>
    <row r="54" spans="2:12" ht="15.75" customHeight="1" x14ac:dyDescent="0.25">
      <c r="B54" s="72"/>
      <c r="C54" s="72"/>
      <c r="D54" s="72"/>
      <c r="E54" s="72"/>
      <c r="F54" s="72"/>
      <c r="G54" s="72"/>
      <c r="H54" s="72"/>
      <c r="I54" s="72"/>
      <c r="J54" s="72"/>
      <c r="K54" s="75" t="s">
        <v>171</v>
      </c>
      <c r="L54" s="72"/>
    </row>
    <row r="55" spans="2:12" ht="15.75" customHeight="1" thickBot="1" x14ac:dyDescent="0.3">
      <c r="B55" s="83" t="s">
        <v>211</v>
      </c>
      <c r="C55" s="81"/>
      <c r="D55" s="81"/>
      <c r="E55" s="81"/>
      <c r="F55" s="81"/>
      <c r="G55" s="81"/>
      <c r="H55" s="82">
        <f>(H51 *H52  * 0.0864) * (100 / H53)</f>
        <v>3.0625476923076924</v>
      </c>
      <c r="I55" s="86" t="s">
        <v>206</v>
      </c>
      <c r="J55" s="79"/>
      <c r="K55" s="79"/>
      <c r="L55" s="79"/>
    </row>
    <row r="56" spans="2:12" ht="15.6" customHeight="1" thickBot="1" x14ac:dyDescent="0.3">
      <c r="B56" s="105" t="s">
        <v>207</v>
      </c>
      <c r="C56" s="106"/>
      <c r="D56" s="106"/>
      <c r="E56" s="106"/>
      <c r="F56" s="106"/>
      <c r="G56" s="106"/>
      <c r="H56" s="106"/>
      <c r="I56" s="106"/>
      <c r="J56" s="106"/>
      <c r="K56" s="106"/>
      <c r="L56" s="107"/>
    </row>
    <row r="57" spans="2:12" ht="15.75" customHeight="1" x14ac:dyDescent="0.2">
      <c r="B57" s="71" t="s">
        <v>177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</row>
    <row r="58" spans="2:12" ht="15.75" customHeight="1" x14ac:dyDescent="0.2">
      <c r="B58" s="72"/>
      <c r="C58" s="73" t="s">
        <v>63</v>
      </c>
      <c r="D58" s="57"/>
      <c r="E58" s="57"/>
      <c r="F58" s="57"/>
      <c r="G58" s="66" t="s">
        <v>200</v>
      </c>
      <c r="H58" s="64">
        <v>15.36</v>
      </c>
      <c r="I58" s="73" t="s">
        <v>180</v>
      </c>
      <c r="J58" s="72"/>
      <c r="K58" s="72"/>
      <c r="L58" s="72"/>
    </row>
    <row r="59" spans="2:12" ht="15.75" customHeight="1" x14ac:dyDescent="0.2">
      <c r="B59" s="72"/>
      <c r="C59" s="73" t="s">
        <v>208</v>
      </c>
      <c r="D59" s="57"/>
      <c r="E59" s="57"/>
      <c r="F59" s="57"/>
      <c r="G59" s="66" t="s">
        <v>209</v>
      </c>
      <c r="H59" s="64">
        <v>0.05</v>
      </c>
      <c r="I59" s="73" t="s">
        <v>92</v>
      </c>
      <c r="J59" s="72"/>
      <c r="K59" s="72"/>
      <c r="L59" s="72"/>
    </row>
    <row r="60" spans="2:12" ht="15.75" customHeight="1" x14ac:dyDescent="0.2">
      <c r="B60" s="73" t="s">
        <v>164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</row>
    <row r="61" spans="2:12" ht="15.75" customHeight="1" x14ac:dyDescent="0.25">
      <c r="B61" s="72"/>
      <c r="C61" s="75" t="s">
        <v>187</v>
      </c>
      <c r="D61" s="72"/>
      <c r="E61" s="72"/>
      <c r="F61" s="72"/>
      <c r="G61" s="66" t="s">
        <v>165</v>
      </c>
      <c r="H61" s="88">
        <f>0.71*(H58^0.38)/(H59^0.21)</f>
        <v>3.7609997951939325</v>
      </c>
      <c r="I61" s="75" t="s">
        <v>171</v>
      </c>
      <c r="J61" s="72"/>
      <c r="K61" s="72"/>
      <c r="L61" s="72"/>
    </row>
    <row r="62" spans="2:12" ht="15.75" customHeight="1" x14ac:dyDescent="0.25">
      <c r="B62" s="87" t="s">
        <v>210</v>
      </c>
      <c r="C62" s="77"/>
      <c r="D62" s="77"/>
      <c r="E62" s="77"/>
      <c r="F62" s="77"/>
      <c r="G62" s="77"/>
      <c r="H62" s="78">
        <v>4</v>
      </c>
      <c r="I62" s="77"/>
      <c r="J62" s="72"/>
      <c r="K62" s="72"/>
      <c r="L62" s="72"/>
    </row>
  </sheetData>
  <mergeCells count="8">
    <mergeCell ref="B49:L49"/>
    <mergeCell ref="B56:L56"/>
    <mergeCell ref="B3:L3"/>
    <mergeCell ref="B7:L7"/>
    <mergeCell ref="B17:L17"/>
    <mergeCell ref="B25:L25"/>
    <mergeCell ref="B33:L33"/>
    <mergeCell ref="B43:L43"/>
  </mergeCells>
  <hyperlinks>
    <hyperlink ref="B1" r:id="rId1" xr:uid="{00000000-0004-0000-04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POBLACION</vt:lpstr>
      <vt:lpstr>DOTACION</vt:lpstr>
      <vt:lpstr>CAUDAL DE DISEÑO</vt:lpstr>
      <vt:lpstr>LC1</vt:lpstr>
      <vt:lpstr>LC2</vt:lpstr>
      <vt:lpstr>LINEA DE ADUCCION</vt:lpstr>
      <vt:lpstr>TANQUE DE ALMACENAMIENTO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villegas felix</dc:creator>
  <cp:lastModifiedBy>Rubén Ríos Chipana</cp:lastModifiedBy>
  <dcterms:created xsi:type="dcterms:W3CDTF">2026-06-30T02:28:30Z</dcterms:created>
  <dcterms:modified xsi:type="dcterms:W3CDTF">2026-07-06T03:55:52Z</dcterms:modified>
</cp:coreProperties>
</file>