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.sharepoint.com/sites/154027/Shared Documents/154027-04 Honningblom/Data/"/>
    </mc:Choice>
  </mc:AlternateContent>
  <xr:revisionPtr revIDLastSave="50" documentId="13_ncr:1_{F4B2B603-E2E0-4F18-A96D-9AC9720CD0A2}" xr6:coauthVersionLast="47" xr6:coauthVersionMax="47" xr10:uidLastSave="{45CF3E90-8125-4850-AF68-F16FE2EC2047}"/>
  <bookViews>
    <workbookView xWindow="-38520" yWindow="-120" windowWidth="38640" windowHeight="21240" activeTab="2" xr2:uid="{A54CB4A2-BA0E-48B5-833A-3D044FA1FFF6}"/>
  </bookViews>
  <sheets>
    <sheet name="Lokalitetsdata" sheetId="4" r:id="rId1"/>
    <sheet name="transektdata" sheetId="3" r:id="rId2"/>
    <sheet name="Honningblom_data" sheetId="1" r:id="rId3"/>
    <sheet name="pivot" sheetId="6" r:id="rId4"/>
    <sheet name="Koordinater NY 2021" sheetId="5" r:id="rId5"/>
  </sheets>
  <definedNames>
    <definedName name="_xlnm._FilterDatabase" localSheetId="2" hidden="1">Honningblom_data!$A$1:$AL$559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0" i="1" l="1"/>
  <c r="J370" i="1" s="1"/>
  <c r="G381" i="1"/>
  <c r="L381" i="1" s="1"/>
  <c r="G385" i="1"/>
  <c r="G389" i="1"/>
  <c r="G393" i="1"/>
  <c r="L393" i="1" s="1"/>
  <c r="G397" i="1"/>
  <c r="L397" i="1" s="1"/>
  <c r="G401" i="1"/>
  <c r="G412" i="1"/>
  <c r="L412" i="1" s="1"/>
  <c r="G423" i="1"/>
  <c r="J423" i="1" s="1"/>
  <c r="G434" i="1"/>
  <c r="L434" i="1" s="1"/>
  <c r="G445" i="1"/>
  <c r="J445" i="1" s="1"/>
  <c r="G456" i="1"/>
  <c r="L456" i="1" s="1"/>
  <c r="G467" i="1"/>
  <c r="L467" i="1" s="1"/>
  <c r="G478" i="1"/>
  <c r="L478" i="1" s="1"/>
  <c r="G489" i="1"/>
  <c r="M178" i="1"/>
  <c r="M189" i="1"/>
  <c r="M200" i="1"/>
  <c r="M211" i="1"/>
  <c r="M215" i="1"/>
  <c r="M219" i="1"/>
  <c r="M223" i="1"/>
  <c r="M227" i="1"/>
  <c r="M231" i="1"/>
  <c r="M235" i="1"/>
  <c r="M239" i="1"/>
  <c r="M250" i="1"/>
  <c r="M254" i="1"/>
  <c r="M258" i="1"/>
  <c r="M262" i="1"/>
  <c r="M266" i="1"/>
  <c r="M270" i="1"/>
  <c r="M274" i="1"/>
  <c r="M278" i="1"/>
  <c r="M282" i="1"/>
  <c r="M293" i="1"/>
  <c r="M304" i="1"/>
  <c r="M315" i="1"/>
  <c r="M326" i="1"/>
  <c r="M337" i="1"/>
  <c r="M348" i="1"/>
  <c r="M359" i="1"/>
  <c r="M370" i="1"/>
  <c r="M381" i="1"/>
  <c r="M385" i="1"/>
  <c r="M389" i="1"/>
  <c r="M393" i="1"/>
  <c r="M397" i="1"/>
  <c r="M401" i="1"/>
  <c r="M412" i="1"/>
  <c r="M423" i="1"/>
  <c r="M434" i="1"/>
  <c r="M445" i="1"/>
  <c r="M456" i="1"/>
  <c r="M467" i="1"/>
  <c r="M478" i="1"/>
  <c r="M489" i="1"/>
  <c r="G178" i="1"/>
  <c r="L178" i="1" s="1"/>
  <c r="G189" i="1"/>
  <c r="J189" i="1" s="1"/>
  <c r="G200" i="1"/>
  <c r="L200" i="1" s="1"/>
  <c r="G211" i="1"/>
  <c r="J211" i="1" s="1"/>
  <c r="G215" i="1"/>
  <c r="L215" i="1" s="1"/>
  <c r="G219" i="1"/>
  <c r="L219" i="1" s="1"/>
  <c r="G223" i="1"/>
  <c r="L223" i="1" s="1"/>
  <c r="G227" i="1"/>
  <c r="L227" i="1" s="1"/>
  <c r="G231" i="1"/>
  <c r="G235" i="1"/>
  <c r="J235" i="1" s="1"/>
  <c r="G239" i="1"/>
  <c r="J239" i="1" s="1"/>
  <c r="G250" i="1"/>
  <c r="L250" i="1" s="1"/>
  <c r="G254" i="1"/>
  <c r="L254" i="1" s="1"/>
  <c r="G258" i="1"/>
  <c r="L258" i="1" s="1"/>
  <c r="G262" i="1"/>
  <c r="G266" i="1"/>
  <c r="L266" i="1" s="1"/>
  <c r="G270" i="1"/>
  <c r="L270" i="1" s="1"/>
  <c r="G274" i="1"/>
  <c r="L274" i="1" s="1"/>
  <c r="G278" i="1"/>
  <c r="L278" i="1" s="1"/>
  <c r="G282" i="1"/>
  <c r="L282" i="1" s="1"/>
  <c r="G293" i="1"/>
  <c r="J293" i="1" s="1"/>
  <c r="G304" i="1"/>
  <c r="L304" i="1" s="1"/>
  <c r="G315" i="1"/>
  <c r="J315" i="1" s="1"/>
  <c r="G326" i="1"/>
  <c r="L326" i="1" s="1"/>
  <c r="G337" i="1"/>
  <c r="L337" i="1" s="1"/>
  <c r="G348" i="1"/>
  <c r="L348" i="1" s="1"/>
  <c r="G359" i="1"/>
  <c r="L359" i="1" s="1"/>
  <c r="M6" i="1"/>
  <c r="M11" i="1"/>
  <c r="M16" i="1"/>
  <c r="M21" i="1"/>
  <c r="M26" i="1"/>
  <c r="M31" i="1"/>
  <c r="M36" i="1"/>
  <c r="M41" i="1"/>
  <c r="M46" i="1"/>
  <c r="M51" i="1"/>
  <c r="G6" i="1"/>
  <c r="L6" i="1" s="1"/>
  <c r="G11" i="1"/>
  <c r="G16" i="1"/>
  <c r="L16" i="1" s="1"/>
  <c r="G21" i="1"/>
  <c r="G26" i="1"/>
  <c r="J26" i="1" s="1"/>
  <c r="G31" i="1"/>
  <c r="J31" i="1" s="1"/>
  <c r="G36" i="1"/>
  <c r="J36" i="1" s="1"/>
  <c r="G41" i="1"/>
  <c r="L41" i="1" s="1"/>
  <c r="G46" i="1"/>
  <c r="L46" i="1" s="1"/>
  <c r="G51" i="1"/>
  <c r="L51" i="1" s="1"/>
  <c r="G134" i="1"/>
  <c r="L134" i="1" s="1"/>
  <c r="M62" i="1"/>
  <c r="M66" i="1"/>
  <c r="M70" i="1"/>
  <c r="M74" i="1"/>
  <c r="M78" i="1"/>
  <c r="M82" i="1"/>
  <c r="M86" i="1"/>
  <c r="M90" i="1"/>
  <c r="M101" i="1"/>
  <c r="M112" i="1"/>
  <c r="M123" i="1"/>
  <c r="M134" i="1"/>
  <c r="M145" i="1"/>
  <c r="M156" i="1"/>
  <c r="M167" i="1"/>
  <c r="G62" i="1"/>
  <c r="L62" i="1" s="1"/>
  <c r="G66" i="1"/>
  <c r="L66" i="1" s="1"/>
  <c r="G70" i="1"/>
  <c r="L70" i="1" s="1"/>
  <c r="G74" i="1"/>
  <c r="L74" i="1" s="1"/>
  <c r="G78" i="1"/>
  <c r="L78" i="1" s="1"/>
  <c r="G82" i="1"/>
  <c r="L82" i="1" s="1"/>
  <c r="G86" i="1"/>
  <c r="L86" i="1" s="1"/>
  <c r="G90" i="1"/>
  <c r="L90" i="1" s="1"/>
  <c r="G101" i="1"/>
  <c r="L101" i="1" s="1"/>
  <c r="G112" i="1"/>
  <c r="L112" i="1" s="1"/>
  <c r="G123" i="1"/>
  <c r="L123" i="1" s="1"/>
  <c r="G145" i="1"/>
  <c r="J145" i="1" s="1"/>
  <c r="G156" i="1"/>
  <c r="J156" i="1" s="1"/>
  <c r="G167" i="1"/>
  <c r="L167" i="1" s="1"/>
  <c r="M369" i="1"/>
  <c r="N488" i="1"/>
  <c r="N477" i="1"/>
  <c r="N466" i="1"/>
  <c r="N455" i="1"/>
  <c r="N444" i="1"/>
  <c r="N433" i="1"/>
  <c r="N422" i="1"/>
  <c r="N411" i="1"/>
  <c r="N400" i="1"/>
  <c r="N396" i="1"/>
  <c r="N392" i="1"/>
  <c r="N388" i="1"/>
  <c r="N384" i="1"/>
  <c r="N380" i="1"/>
  <c r="N369" i="1"/>
  <c r="M488" i="1"/>
  <c r="G488" i="1"/>
  <c r="L488" i="1" s="1"/>
  <c r="M477" i="1"/>
  <c r="G477" i="1"/>
  <c r="L477" i="1" s="1"/>
  <c r="M466" i="1"/>
  <c r="G466" i="1"/>
  <c r="L466" i="1" s="1"/>
  <c r="M455" i="1"/>
  <c r="G455" i="1"/>
  <c r="M444" i="1"/>
  <c r="G444" i="1"/>
  <c r="L444" i="1" s="1"/>
  <c r="M433" i="1"/>
  <c r="G433" i="1"/>
  <c r="L433" i="1" s="1"/>
  <c r="M422" i="1"/>
  <c r="G422" i="1"/>
  <c r="L422" i="1" s="1"/>
  <c r="M411" i="1"/>
  <c r="G411" i="1"/>
  <c r="L411" i="1" s="1"/>
  <c r="M400" i="1"/>
  <c r="G400" i="1"/>
  <c r="L400" i="1" s="1"/>
  <c r="M396" i="1"/>
  <c r="G396" i="1"/>
  <c r="L396" i="1" s="1"/>
  <c r="M392" i="1"/>
  <c r="G392" i="1"/>
  <c r="L392" i="1" s="1"/>
  <c r="M388" i="1"/>
  <c r="G388" i="1"/>
  <c r="L388" i="1" s="1"/>
  <c r="M384" i="1"/>
  <c r="G384" i="1"/>
  <c r="L384" i="1" s="1"/>
  <c r="M380" i="1"/>
  <c r="G380" i="1"/>
  <c r="L380" i="1" s="1"/>
  <c r="G369" i="1"/>
  <c r="J369" i="1" s="1"/>
  <c r="N358" i="1"/>
  <c r="N347" i="1"/>
  <c r="N336" i="1"/>
  <c r="N325" i="1"/>
  <c r="N314" i="1"/>
  <c r="N303" i="1"/>
  <c r="N292" i="1"/>
  <c r="N281" i="1"/>
  <c r="N277" i="1"/>
  <c r="N273" i="1"/>
  <c r="N269" i="1"/>
  <c r="N265" i="1"/>
  <c r="N261" i="1"/>
  <c r="N257" i="1"/>
  <c r="N253" i="1"/>
  <c r="N249" i="1"/>
  <c r="N238" i="1"/>
  <c r="N234" i="1"/>
  <c r="N230" i="1"/>
  <c r="N226" i="1"/>
  <c r="N222" i="1"/>
  <c r="N218" i="1"/>
  <c r="N214" i="1"/>
  <c r="N210" i="1"/>
  <c r="N199" i="1"/>
  <c r="N188" i="1"/>
  <c r="N177" i="1"/>
  <c r="M358" i="1"/>
  <c r="G358" i="1"/>
  <c r="L358" i="1" s="1"/>
  <c r="M347" i="1"/>
  <c r="G347" i="1"/>
  <c r="L347" i="1" s="1"/>
  <c r="M336" i="1"/>
  <c r="G336" i="1"/>
  <c r="L336" i="1" s="1"/>
  <c r="M325" i="1"/>
  <c r="G325" i="1"/>
  <c r="L325" i="1" s="1"/>
  <c r="M314" i="1"/>
  <c r="G314" i="1"/>
  <c r="L314" i="1" s="1"/>
  <c r="M303" i="1"/>
  <c r="G303" i="1"/>
  <c r="L303" i="1" s="1"/>
  <c r="M292" i="1"/>
  <c r="G292" i="1"/>
  <c r="L292" i="1" s="1"/>
  <c r="M281" i="1"/>
  <c r="G281" i="1"/>
  <c r="L281" i="1" s="1"/>
  <c r="M277" i="1"/>
  <c r="G277" i="1"/>
  <c r="L277" i="1" s="1"/>
  <c r="M273" i="1"/>
  <c r="G273" i="1"/>
  <c r="L273" i="1" s="1"/>
  <c r="M269" i="1"/>
  <c r="G269" i="1"/>
  <c r="L269" i="1" s="1"/>
  <c r="M265" i="1"/>
  <c r="G265" i="1"/>
  <c r="J265" i="1" s="1"/>
  <c r="M261" i="1"/>
  <c r="G261" i="1"/>
  <c r="L261" i="1" s="1"/>
  <c r="M257" i="1"/>
  <c r="G257" i="1"/>
  <c r="L257" i="1" s="1"/>
  <c r="M253" i="1"/>
  <c r="G253" i="1"/>
  <c r="L253" i="1" s="1"/>
  <c r="M249" i="1"/>
  <c r="G249" i="1"/>
  <c r="L249" i="1" s="1"/>
  <c r="M238" i="1"/>
  <c r="G238" i="1"/>
  <c r="L238" i="1" s="1"/>
  <c r="M234" i="1"/>
  <c r="G234" i="1"/>
  <c r="L234" i="1" s="1"/>
  <c r="M230" i="1"/>
  <c r="G230" i="1"/>
  <c r="L230" i="1" s="1"/>
  <c r="M226" i="1"/>
  <c r="G226" i="1"/>
  <c r="L226" i="1" s="1"/>
  <c r="M222" i="1"/>
  <c r="G222" i="1"/>
  <c r="L222" i="1" s="1"/>
  <c r="M218" i="1"/>
  <c r="G218" i="1"/>
  <c r="L218" i="1" s="1"/>
  <c r="M214" i="1"/>
  <c r="G214" i="1"/>
  <c r="L214" i="1" s="1"/>
  <c r="M210" i="1"/>
  <c r="G210" i="1"/>
  <c r="L210" i="1" s="1"/>
  <c r="M199" i="1"/>
  <c r="G199" i="1"/>
  <c r="J199" i="1" s="1"/>
  <c r="M188" i="1"/>
  <c r="G188" i="1"/>
  <c r="L188" i="1" s="1"/>
  <c r="M177" i="1"/>
  <c r="G177" i="1"/>
  <c r="L177" i="1" s="1"/>
  <c r="N50" i="1"/>
  <c r="N45" i="1"/>
  <c r="N40" i="1"/>
  <c r="N35" i="1"/>
  <c r="N30" i="1"/>
  <c r="N25" i="1"/>
  <c r="N20" i="1"/>
  <c r="N15" i="1"/>
  <c r="N10" i="1"/>
  <c r="N5" i="1"/>
  <c r="M50" i="1"/>
  <c r="G50" i="1"/>
  <c r="L50" i="1" s="1"/>
  <c r="M45" i="1"/>
  <c r="G45" i="1"/>
  <c r="L45" i="1" s="1"/>
  <c r="M40" i="1"/>
  <c r="G40" i="1"/>
  <c r="L40" i="1" s="1"/>
  <c r="M35" i="1"/>
  <c r="G35" i="1"/>
  <c r="L35" i="1" s="1"/>
  <c r="M30" i="1"/>
  <c r="G30" i="1"/>
  <c r="J30" i="1" s="1"/>
  <c r="M25" i="1"/>
  <c r="G25" i="1"/>
  <c r="L25" i="1" s="1"/>
  <c r="M20" i="1"/>
  <c r="G20" i="1"/>
  <c r="L20" i="1" s="1"/>
  <c r="M15" i="1"/>
  <c r="G15" i="1"/>
  <c r="L15" i="1" s="1"/>
  <c r="M10" i="1"/>
  <c r="G10" i="1"/>
  <c r="L10" i="1" s="1"/>
  <c r="M5" i="1"/>
  <c r="G5" i="1"/>
  <c r="L5" i="1" s="1"/>
  <c r="N166" i="1"/>
  <c r="M166" i="1"/>
  <c r="N155" i="1"/>
  <c r="N133" i="1"/>
  <c r="N122" i="1"/>
  <c r="N111" i="1"/>
  <c r="N100" i="1"/>
  <c r="N89" i="1"/>
  <c r="N85" i="1"/>
  <c r="N81" i="1"/>
  <c r="N77" i="1"/>
  <c r="N73" i="1"/>
  <c r="N69" i="1"/>
  <c r="N65" i="1"/>
  <c r="N61" i="1"/>
  <c r="M155" i="1"/>
  <c r="M144" i="1"/>
  <c r="M133" i="1"/>
  <c r="M122" i="1"/>
  <c r="M111" i="1"/>
  <c r="M100" i="1"/>
  <c r="M89" i="1"/>
  <c r="M85" i="1"/>
  <c r="M81" i="1"/>
  <c r="M77" i="1"/>
  <c r="M73" i="1"/>
  <c r="M69" i="1"/>
  <c r="M65" i="1"/>
  <c r="M61" i="1"/>
  <c r="G166" i="1"/>
  <c r="J166" i="1" s="1"/>
  <c r="G155" i="1"/>
  <c r="L155" i="1" s="1"/>
  <c r="G144" i="1"/>
  <c r="J144" i="1" s="1"/>
  <c r="G133" i="1"/>
  <c r="J133" i="1" s="1"/>
  <c r="G122" i="1"/>
  <c r="J122" i="1" s="1"/>
  <c r="G111" i="1"/>
  <c r="J111" i="1" s="1"/>
  <c r="G100" i="1"/>
  <c r="L100" i="1" s="1"/>
  <c r="G89" i="1"/>
  <c r="G85" i="1"/>
  <c r="G81" i="1"/>
  <c r="L81" i="1" s="1"/>
  <c r="G77" i="1"/>
  <c r="G73" i="1"/>
  <c r="G69" i="1"/>
  <c r="G65" i="1"/>
  <c r="G61" i="1"/>
  <c r="L61" i="1" s="1"/>
  <c r="M68" i="1"/>
  <c r="G68" i="1"/>
  <c r="L68" i="1" s="1"/>
  <c r="M64" i="1"/>
  <c r="G64" i="1"/>
  <c r="L64" i="1" s="1"/>
  <c r="M88" i="1"/>
  <c r="G88" i="1"/>
  <c r="L88" i="1" s="1"/>
  <c r="M84" i="1"/>
  <c r="G84" i="1"/>
  <c r="L84" i="1" s="1"/>
  <c r="M76" i="1"/>
  <c r="G76" i="1"/>
  <c r="L76" i="1" s="1"/>
  <c r="M110" i="1"/>
  <c r="G110" i="1"/>
  <c r="L110" i="1" s="1"/>
  <c r="M72" i="1"/>
  <c r="G72" i="1"/>
  <c r="L72" i="1" s="1"/>
  <c r="M99" i="1"/>
  <c r="G99" i="1"/>
  <c r="J99" i="1" s="1"/>
  <c r="M132" i="1"/>
  <c r="G132" i="1"/>
  <c r="L132" i="1" s="1"/>
  <c r="M121" i="1"/>
  <c r="G121" i="1"/>
  <c r="L121" i="1" s="1"/>
  <c r="M154" i="1"/>
  <c r="G154" i="1"/>
  <c r="J154" i="1" s="1"/>
  <c r="M143" i="1"/>
  <c r="G143" i="1"/>
  <c r="J143" i="1" s="1"/>
  <c r="M80" i="1"/>
  <c r="G80" i="1"/>
  <c r="L80" i="1" s="1"/>
  <c r="M60" i="1"/>
  <c r="G60" i="1"/>
  <c r="L60" i="1" s="1"/>
  <c r="M165" i="1"/>
  <c r="G165" i="1"/>
  <c r="J165" i="1" s="1"/>
  <c r="M9" i="1"/>
  <c r="G9" i="1"/>
  <c r="L9" i="1" s="1"/>
  <c r="M49" i="1"/>
  <c r="G49" i="1"/>
  <c r="L49" i="1" s="1"/>
  <c r="M44" i="1"/>
  <c r="G44" i="1"/>
  <c r="J44" i="1" s="1"/>
  <c r="M39" i="1"/>
  <c r="G39" i="1"/>
  <c r="L39" i="1" s="1"/>
  <c r="M34" i="1"/>
  <c r="G34" i="1"/>
  <c r="L34" i="1" s="1"/>
  <c r="M29" i="1"/>
  <c r="G29" i="1"/>
  <c r="J29" i="1" s="1"/>
  <c r="M24" i="1"/>
  <c r="G24" i="1"/>
  <c r="L24" i="1" s="1"/>
  <c r="M19" i="1"/>
  <c r="G19" i="1"/>
  <c r="L19" i="1" s="1"/>
  <c r="M14" i="1"/>
  <c r="G14" i="1"/>
  <c r="L14" i="1" s="1"/>
  <c r="M4" i="1"/>
  <c r="G4" i="1"/>
  <c r="J4" i="1" s="1"/>
  <c r="M387" i="1"/>
  <c r="G387" i="1"/>
  <c r="L387" i="1" s="1"/>
  <c r="M379" i="1"/>
  <c r="G379" i="1"/>
  <c r="L379" i="1" s="1"/>
  <c r="M383" i="1"/>
  <c r="G383" i="1"/>
  <c r="L383" i="1" s="1"/>
  <c r="M391" i="1"/>
  <c r="G391" i="1"/>
  <c r="L391" i="1" s="1"/>
  <c r="M487" i="1"/>
  <c r="G487" i="1"/>
  <c r="L487" i="1" s="1"/>
  <c r="M476" i="1"/>
  <c r="G476" i="1"/>
  <c r="L476" i="1" s="1"/>
  <c r="M443" i="1"/>
  <c r="G443" i="1"/>
  <c r="L443" i="1" s="1"/>
  <c r="M465" i="1"/>
  <c r="G465" i="1"/>
  <c r="L465" i="1" s="1"/>
  <c r="M432" i="1"/>
  <c r="G432" i="1"/>
  <c r="J432" i="1" s="1"/>
  <c r="M421" i="1"/>
  <c r="G421" i="1"/>
  <c r="L421" i="1" s="1"/>
  <c r="M368" i="1"/>
  <c r="G368" i="1"/>
  <c r="L368" i="1" s="1"/>
  <c r="M454" i="1"/>
  <c r="G454" i="1"/>
  <c r="J454" i="1" s="1"/>
  <c r="M399" i="1"/>
  <c r="G399" i="1"/>
  <c r="L399" i="1" s="1"/>
  <c r="M395" i="1"/>
  <c r="G395" i="1"/>
  <c r="L395" i="1" s="1"/>
  <c r="M410" i="1"/>
  <c r="G410" i="1"/>
  <c r="L410" i="1" s="1"/>
  <c r="M237" i="1"/>
  <c r="G237" i="1"/>
  <c r="L237" i="1" s="1"/>
  <c r="M233" i="1"/>
  <c r="G233" i="1"/>
  <c r="J233" i="1" s="1"/>
  <c r="M213" i="1"/>
  <c r="G213" i="1"/>
  <c r="J213" i="1" s="1"/>
  <c r="M252" i="1"/>
  <c r="G252" i="1"/>
  <c r="L252" i="1" s="1"/>
  <c r="M225" i="1"/>
  <c r="G225" i="1"/>
  <c r="L225" i="1" s="1"/>
  <c r="M229" i="1"/>
  <c r="G229" i="1"/>
  <c r="L229" i="1" s="1"/>
  <c r="M256" i="1"/>
  <c r="G256" i="1"/>
  <c r="L256" i="1" s="1"/>
  <c r="M260" i="1"/>
  <c r="G260" i="1"/>
  <c r="L260" i="1" s="1"/>
  <c r="M280" i="1"/>
  <c r="G280" i="1"/>
  <c r="L280" i="1" s="1"/>
  <c r="M221" i="1"/>
  <c r="G221" i="1"/>
  <c r="L221" i="1" s="1"/>
  <c r="M187" i="1"/>
  <c r="G187" i="1"/>
  <c r="J187" i="1" s="1"/>
  <c r="M209" i="1"/>
  <c r="G209" i="1"/>
  <c r="L209" i="1" s="1"/>
  <c r="M264" i="1"/>
  <c r="G264" i="1"/>
  <c r="L264" i="1" s="1"/>
  <c r="M217" i="1"/>
  <c r="G217" i="1"/>
  <c r="L217" i="1" s="1"/>
  <c r="M198" i="1"/>
  <c r="G198" i="1"/>
  <c r="J198" i="1" s="1"/>
  <c r="M276" i="1"/>
  <c r="G276" i="1"/>
  <c r="L276" i="1" s="1"/>
  <c r="M248" i="1"/>
  <c r="G248" i="1"/>
  <c r="L248" i="1" s="1"/>
  <c r="M176" i="1"/>
  <c r="G176" i="1"/>
  <c r="L176" i="1" s="1"/>
  <c r="M272" i="1"/>
  <c r="G272" i="1"/>
  <c r="L272" i="1" s="1"/>
  <c r="M268" i="1"/>
  <c r="G268" i="1"/>
  <c r="L268" i="1" s="1"/>
  <c r="M324" i="1"/>
  <c r="G324" i="1"/>
  <c r="L324" i="1" s="1"/>
  <c r="M313" i="1"/>
  <c r="G313" i="1"/>
  <c r="J313" i="1" s="1"/>
  <c r="M302" i="1"/>
  <c r="G302" i="1"/>
  <c r="J302" i="1" s="1"/>
  <c r="M291" i="1"/>
  <c r="G291" i="1"/>
  <c r="J291" i="1" s="1"/>
  <c r="M357" i="1"/>
  <c r="G357" i="1"/>
  <c r="J357" i="1" s="1"/>
  <c r="M346" i="1"/>
  <c r="G335" i="1"/>
  <c r="J335" i="1" s="1"/>
  <c r="G346" i="1"/>
  <c r="L346" i="1" s="1"/>
  <c r="M335" i="1"/>
  <c r="J479" i="1"/>
  <c r="R38" i="1"/>
  <c r="R13" i="1"/>
  <c r="R164" i="1"/>
  <c r="R153" i="1"/>
  <c r="R142" i="1"/>
  <c r="R131" i="1"/>
  <c r="R120" i="1"/>
  <c r="R98" i="1"/>
  <c r="R79" i="1"/>
  <c r="R71" i="1"/>
  <c r="R208" i="1"/>
  <c r="R279" i="1"/>
  <c r="R275" i="1"/>
  <c r="R271" i="1"/>
  <c r="R267" i="1"/>
  <c r="R263" i="1"/>
  <c r="R259" i="1"/>
  <c r="R216" i="1"/>
  <c r="R212" i="1"/>
  <c r="G345" i="1"/>
  <c r="L345" i="1" s="1"/>
  <c r="G334" i="1"/>
  <c r="L334" i="1" s="1"/>
  <c r="G263" i="1"/>
  <c r="J263" i="1" s="1"/>
  <c r="M271" i="1"/>
  <c r="G271" i="1"/>
  <c r="L271" i="1" s="1"/>
  <c r="G216" i="1"/>
  <c r="L216" i="1" s="1"/>
  <c r="G13" i="1"/>
  <c r="L13" i="1" s="1"/>
  <c r="M13" i="1"/>
  <c r="M79" i="1"/>
  <c r="G79" i="1"/>
  <c r="L79" i="1" s="1"/>
  <c r="M164" i="1"/>
  <c r="M120" i="1"/>
  <c r="M131" i="1"/>
  <c r="M142" i="1"/>
  <c r="M153" i="1"/>
  <c r="M59" i="1"/>
  <c r="M63" i="1"/>
  <c r="M83" i="1"/>
  <c r="M87" i="1"/>
  <c r="M98" i="1"/>
  <c r="M67" i="1"/>
  <c r="M75" i="1"/>
  <c r="M71" i="1"/>
  <c r="M3" i="1"/>
  <c r="M38" i="1"/>
  <c r="M18" i="1"/>
  <c r="M23" i="1"/>
  <c r="M28" i="1"/>
  <c r="M33" i="1"/>
  <c r="M43" i="1"/>
  <c r="M48" i="1"/>
  <c r="M8" i="1"/>
  <c r="M367" i="1"/>
  <c r="M409" i="1"/>
  <c r="M420" i="1"/>
  <c r="M431" i="1"/>
  <c r="M442" i="1"/>
  <c r="M453" i="1"/>
  <c r="M464" i="1"/>
  <c r="M486" i="1"/>
  <c r="M475" i="1"/>
  <c r="M378" i="1"/>
  <c r="M382" i="1"/>
  <c r="M390" i="1"/>
  <c r="M394" i="1"/>
  <c r="M398" i="1"/>
  <c r="M175" i="1"/>
  <c r="M247" i="1"/>
  <c r="M290" i="1"/>
  <c r="M301" i="1"/>
  <c r="M312" i="1"/>
  <c r="M323" i="1"/>
  <c r="M356" i="1"/>
  <c r="M197" i="1"/>
  <c r="M208" i="1"/>
  <c r="M212" i="1"/>
  <c r="M216" i="1"/>
  <c r="M220" i="1"/>
  <c r="M224" i="1"/>
  <c r="M228" i="1"/>
  <c r="M232" i="1"/>
  <c r="M236" i="1"/>
  <c r="M251" i="1"/>
  <c r="M255" i="1"/>
  <c r="M259" i="1"/>
  <c r="M263" i="1"/>
  <c r="M267" i="1"/>
  <c r="M275" i="1"/>
  <c r="M279" i="1"/>
  <c r="M109" i="1"/>
  <c r="G279" i="1"/>
  <c r="L279" i="1" s="1"/>
  <c r="G275" i="1"/>
  <c r="L275" i="1" s="1"/>
  <c r="G267" i="1"/>
  <c r="L267" i="1" s="1"/>
  <c r="G259" i="1"/>
  <c r="L259" i="1" s="1"/>
  <c r="G255" i="1"/>
  <c r="L255" i="1" s="1"/>
  <c r="G251" i="1"/>
  <c r="L251" i="1" s="1"/>
  <c r="G236" i="1"/>
  <c r="L236" i="1" s="1"/>
  <c r="G232" i="1"/>
  <c r="L232" i="1" s="1"/>
  <c r="G228" i="1"/>
  <c r="L228" i="1" s="1"/>
  <c r="G224" i="1"/>
  <c r="L224" i="1" s="1"/>
  <c r="G220" i="1"/>
  <c r="L220" i="1" s="1"/>
  <c r="G212" i="1"/>
  <c r="L212" i="1" s="1"/>
  <c r="G208" i="1"/>
  <c r="L208" i="1" s="1"/>
  <c r="G197" i="1"/>
  <c r="L197" i="1" s="1"/>
  <c r="G186" i="1"/>
  <c r="L186" i="1" s="1"/>
  <c r="G356" i="1"/>
  <c r="L356" i="1" s="1"/>
  <c r="G323" i="1"/>
  <c r="L323" i="1" s="1"/>
  <c r="G312" i="1"/>
  <c r="L312" i="1" s="1"/>
  <c r="G301" i="1"/>
  <c r="J301" i="1" s="1"/>
  <c r="G290" i="1"/>
  <c r="J290" i="1" s="1"/>
  <c r="G247" i="1"/>
  <c r="L247" i="1" s="1"/>
  <c r="G175" i="1"/>
  <c r="L175" i="1" s="1"/>
  <c r="G398" i="1"/>
  <c r="L398" i="1" s="1"/>
  <c r="G394" i="1"/>
  <c r="L394" i="1" s="1"/>
  <c r="G390" i="1"/>
  <c r="L390" i="1" s="1"/>
  <c r="G386" i="1"/>
  <c r="L386" i="1" s="1"/>
  <c r="G382" i="1"/>
  <c r="L382" i="1" s="1"/>
  <c r="G378" i="1"/>
  <c r="L378" i="1" s="1"/>
  <c r="G475" i="1"/>
  <c r="L475" i="1" s="1"/>
  <c r="G486" i="1"/>
  <c r="L486" i="1" s="1"/>
  <c r="G464" i="1"/>
  <c r="L464" i="1" s="1"/>
  <c r="G453" i="1"/>
  <c r="L453" i="1" s="1"/>
  <c r="G442" i="1"/>
  <c r="L442" i="1" s="1"/>
  <c r="G431" i="1"/>
  <c r="J431" i="1" s="1"/>
  <c r="G420" i="1"/>
  <c r="J420" i="1" s="1"/>
  <c r="G409" i="1"/>
  <c r="L409" i="1" s="1"/>
  <c r="G367" i="1"/>
  <c r="L367" i="1" s="1"/>
  <c r="G8" i="1"/>
  <c r="L8" i="1" s="1"/>
  <c r="G48" i="1"/>
  <c r="L48" i="1" s="1"/>
  <c r="G43" i="1"/>
  <c r="J43" i="1" s="1"/>
  <c r="G33" i="1"/>
  <c r="L33" i="1" s="1"/>
  <c r="G28" i="1"/>
  <c r="J28" i="1" s="1"/>
  <c r="G23" i="1"/>
  <c r="L23" i="1" s="1"/>
  <c r="G18" i="1"/>
  <c r="L18" i="1" s="1"/>
  <c r="G38" i="1"/>
  <c r="L38" i="1" s="1"/>
  <c r="G3" i="1"/>
  <c r="J3" i="1" s="1"/>
  <c r="G71" i="1"/>
  <c r="L71" i="1" s="1"/>
  <c r="G75" i="1"/>
  <c r="L75" i="1" s="1"/>
  <c r="G67" i="1"/>
  <c r="L67" i="1" s="1"/>
  <c r="G98" i="1"/>
  <c r="L98" i="1" s="1"/>
  <c r="G87" i="1"/>
  <c r="L87" i="1" s="1"/>
  <c r="G83" i="1"/>
  <c r="L83" i="1" s="1"/>
  <c r="G63" i="1"/>
  <c r="L63" i="1" s="1"/>
  <c r="G59" i="1"/>
  <c r="J59" i="1" s="1"/>
  <c r="G153" i="1"/>
  <c r="J153" i="1" s="1"/>
  <c r="G142" i="1"/>
  <c r="L142" i="1" s="1"/>
  <c r="G131" i="1"/>
  <c r="L131" i="1" s="1"/>
  <c r="G120" i="1"/>
  <c r="L120" i="1" s="1"/>
  <c r="G164" i="1"/>
  <c r="L164" i="1" s="1"/>
  <c r="G109" i="1"/>
  <c r="J109" i="1" s="1"/>
  <c r="G7" i="1"/>
  <c r="L7" i="1" s="1"/>
  <c r="G47" i="1"/>
  <c r="L47" i="1" s="1"/>
  <c r="G42" i="1"/>
  <c r="L42" i="1" s="1"/>
  <c r="G37" i="1"/>
  <c r="L37" i="1" s="1"/>
  <c r="G32" i="1"/>
  <c r="J32" i="1" s="1"/>
  <c r="G27" i="1"/>
  <c r="L27" i="1" s="1"/>
  <c r="G22" i="1"/>
  <c r="J22" i="1" s="1"/>
  <c r="G17" i="1"/>
  <c r="L17" i="1" s="1"/>
  <c r="G12" i="1"/>
  <c r="J12" i="1" s="1"/>
  <c r="G2" i="1"/>
  <c r="J2" i="1" s="1"/>
  <c r="G430" i="1"/>
  <c r="L430" i="1" s="1"/>
  <c r="G419" i="1"/>
  <c r="J419" i="1" s="1"/>
  <c r="G196" i="1"/>
  <c r="L196" i="1" s="1"/>
  <c r="G207" i="1"/>
  <c r="J207" i="1" s="1"/>
  <c r="G185" i="1"/>
  <c r="J185" i="1" s="1"/>
  <c r="G355" i="1"/>
  <c r="J355" i="1" s="1"/>
  <c r="G333" i="1"/>
  <c r="J333" i="1" s="1"/>
  <c r="G556" i="1"/>
  <c r="L556" i="1" s="1"/>
  <c r="G246" i="1"/>
  <c r="L246" i="1" s="1"/>
  <c r="G555" i="1"/>
  <c r="J555" i="1" s="1"/>
  <c r="G322" i="1"/>
  <c r="L322" i="1" s="1"/>
  <c r="G311" i="1"/>
  <c r="J311" i="1" s="1"/>
  <c r="G300" i="1"/>
  <c r="L300" i="1" s="1"/>
  <c r="G554" i="1"/>
  <c r="J554" i="1" s="1"/>
  <c r="G553" i="1"/>
  <c r="J553" i="1" s="1"/>
  <c r="G550" i="1"/>
  <c r="L550" i="1" s="1"/>
  <c r="G163" i="1"/>
  <c r="J163" i="1" s="1"/>
  <c r="G152" i="1"/>
  <c r="J152" i="1" s="1"/>
  <c r="G141" i="1"/>
  <c r="J141" i="1" s="1"/>
  <c r="G130" i="1"/>
  <c r="L130" i="1" s="1"/>
  <c r="G551" i="1"/>
  <c r="L551" i="1" s="1"/>
  <c r="G119" i="1"/>
  <c r="J119" i="1" s="1"/>
  <c r="G108" i="1"/>
  <c r="L108" i="1" s="1"/>
  <c r="G97" i="1"/>
  <c r="J97" i="1" s="1"/>
  <c r="G58" i="1"/>
  <c r="J58" i="1" s="1"/>
  <c r="G174" i="1"/>
  <c r="L174" i="1" s="1"/>
  <c r="G344" i="1"/>
  <c r="L344" i="1" s="1"/>
  <c r="G366" i="1"/>
  <c r="L366" i="1" s="1"/>
  <c r="G408" i="1"/>
  <c r="L408" i="1" s="1"/>
  <c r="G452" i="1"/>
  <c r="L452" i="1" s="1"/>
  <c r="G463" i="1"/>
  <c r="L463" i="1" s="1"/>
  <c r="G485" i="1"/>
  <c r="L485" i="1" s="1"/>
  <c r="G377" i="1"/>
  <c r="L377" i="1" s="1"/>
  <c r="L91" i="1"/>
  <c r="L102" i="1"/>
  <c r="L113" i="1"/>
  <c r="L491" i="1"/>
  <c r="L124" i="1"/>
  <c r="L135" i="1"/>
  <c r="L146" i="1"/>
  <c r="L157" i="1"/>
  <c r="L490" i="1"/>
  <c r="L168" i="1"/>
  <c r="L492" i="1"/>
  <c r="L283" i="1"/>
  <c r="L493" i="1"/>
  <c r="L494" i="1"/>
  <c r="L294" i="1"/>
  <c r="L305" i="1"/>
  <c r="L316" i="1"/>
  <c r="L495" i="1"/>
  <c r="L240" i="1"/>
  <c r="L496" i="1"/>
  <c r="L327" i="1"/>
  <c r="L338" i="1"/>
  <c r="L349" i="1"/>
  <c r="L497" i="1"/>
  <c r="L498" i="1"/>
  <c r="L179" i="1"/>
  <c r="L499" i="1"/>
  <c r="L201" i="1"/>
  <c r="L190" i="1"/>
  <c r="L360" i="1"/>
  <c r="L402" i="1"/>
  <c r="L413" i="1"/>
  <c r="L424" i="1"/>
  <c r="L435" i="1"/>
  <c r="L446" i="1"/>
  <c r="L457" i="1"/>
  <c r="L468" i="1"/>
  <c r="L479" i="1"/>
  <c r="L371" i="1"/>
  <c r="L53" i="1"/>
  <c r="L92" i="1"/>
  <c r="L103" i="1"/>
  <c r="L114" i="1"/>
  <c r="L501" i="1"/>
  <c r="L125" i="1"/>
  <c r="L136" i="1"/>
  <c r="L147" i="1"/>
  <c r="L158" i="1"/>
  <c r="L500" i="1"/>
  <c r="L169" i="1"/>
  <c r="L502" i="1"/>
  <c r="L503" i="1"/>
  <c r="L295" i="1"/>
  <c r="L306" i="1"/>
  <c r="L317" i="1"/>
  <c r="L505" i="1"/>
  <c r="L241" i="1"/>
  <c r="L506" i="1"/>
  <c r="L350" i="1"/>
  <c r="L507" i="1"/>
  <c r="L508" i="1"/>
  <c r="L180" i="1"/>
  <c r="L509" i="1"/>
  <c r="L202" i="1"/>
  <c r="L191" i="1"/>
  <c r="L361" i="1"/>
  <c r="L403" i="1"/>
  <c r="L414" i="1"/>
  <c r="L425" i="1"/>
  <c r="L436" i="1"/>
  <c r="L447" i="1"/>
  <c r="L458" i="1"/>
  <c r="L469" i="1"/>
  <c r="L480" i="1"/>
  <c r="L372" i="1"/>
  <c r="L54" i="1"/>
  <c r="L93" i="1"/>
  <c r="L104" i="1"/>
  <c r="L115" i="1"/>
  <c r="L511" i="1"/>
  <c r="L126" i="1"/>
  <c r="L137" i="1"/>
  <c r="L148" i="1"/>
  <c r="L159" i="1"/>
  <c r="L510" i="1"/>
  <c r="L170" i="1"/>
  <c r="L512" i="1"/>
  <c r="L513" i="1"/>
  <c r="L514" i="1"/>
  <c r="L296" i="1"/>
  <c r="L307" i="1"/>
  <c r="L318" i="1"/>
  <c r="L515" i="1"/>
  <c r="L242" i="1"/>
  <c r="L516" i="1"/>
  <c r="L329" i="1"/>
  <c r="L340" i="1"/>
  <c r="L351" i="1"/>
  <c r="L517" i="1"/>
  <c r="L518" i="1"/>
  <c r="L181" i="1"/>
  <c r="L519" i="1"/>
  <c r="L203" i="1"/>
  <c r="L192" i="1"/>
  <c r="L362" i="1"/>
  <c r="L415" i="1"/>
  <c r="L426" i="1"/>
  <c r="L437" i="1"/>
  <c r="L448" i="1"/>
  <c r="L459" i="1"/>
  <c r="L470" i="1"/>
  <c r="L373" i="1"/>
  <c r="L55" i="1"/>
  <c r="L94" i="1"/>
  <c r="L105" i="1"/>
  <c r="L116" i="1"/>
  <c r="L521" i="1"/>
  <c r="L127" i="1"/>
  <c r="L138" i="1"/>
  <c r="L149" i="1"/>
  <c r="L160" i="1"/>
  <c r="L520" i="1"/>
  <c r="L171" i="1"/>
  <c r="L522" i="1"/>
  <c r="L523" i="1"/>
  <c r="L524" i="1"/>
  <c r="L297" i="1"/>
  <c r="L308" i="1"/>
  <c r="L319" i="1"/>
  <c r="L525" i="1"/>
  <c r="L243" i="1"/>
  <c r="L526" i="1"/>
  <c r="L330" i="1"/>
  <c r="L341" i="1"/>
  <c r="L352" i="1"/>
  <c r="L527" i="1"/>
  <c r="L528" i="1"/>
  <c r="L182" i="1"/>
  <c r="L529" i="1"/>
  <c r="L204" i="1"/>
  <c r="L193" i="1"/>
  <c r="L363" i="1"/>
  <c r="L416" i="1"/>
  <c r="L427" i="1"/>
  <c r="L438" i="1"/>
  <c r="L449" i="1"/>
  <c r="L460" i="1"/>
  <c r="L471" i="1"/>
  <c r="L374" i="1"/>
  <c r="G57" i="1"/>
  <c r="L57" i="1" s="1"/>
  <c r="G96" i="1"/>
  <c r="L96" i="1" s="1"/>
  <c r="G107" i="1"/>
  <c r="L107" i="1" s="1"/>
  <c r="G118" i="1"/>
  <c r="J118" i="1" s="1"/>
  <c r="G541" i="1"/>
  <c r="L541" i="1" s="1"/>
  <c r="G129" i="1"/>
  <c r="L129" i="1" s="1"/>
  <c r="G140" i="1"/>
  <c r="J140" i="1" s="1"/>
  <c r="G151" i="1"/>
  <c r="J151" i="1" s="1"/>
  <c r="G162" i="1"/>
  <c r="L162" i="1" s="1"/>
  <c r="G540" i="1"/>
  <c r="L540" i="1" s="1"/>
  <c r="G173" i="1"/>
  <c r="L173" i="1" s="1"/>
  <c r="G542" i="1"/>
  <c r="J542" i="1" s="1"/>
  <c r="G288" i="1"/>
  <c r="J288" i="1" s="1"/>
  <c r="G543" i="1"/>
  <c r="L543" i="1" s="1"/>
  <c r="G544" i="1"/>
  <c r="L544" i="1" s="1"/>
  <c r="G299" i="1"/>
  <c r="J299" i="1" s="1"/>
  <c r="G310" i="1"/>
  <c r="J310" i="1" s="1"/>
  <c r="G321" i="1"/>
  <c r="J321" i="1" s="1"/>
  <c r="G545" i="1"/>
  <c r="L545" i="1" s="1"/>
  <c r="G245" i="1"/>
  <c r="J245" i="1" s="1"/>
  <c r="G546" i="1"/>
  <c r="J546" i="1" s="1"/>
  <c r="G332" i="1"/>
  <c r="L332" i="1" s="1"/>
  <c r="G343" i="1"/>
  <c r="J343" i="1" s="1"/>
  <c r="G354" i="1"/>
  <c r="J354" i="1" s="1"/>
  <c r="G184" i="1"/>
  <c r="J184" i="1" s="1"/>
  <c r="G206" i="1"/>
  <c r="L206" i="1" s="1"/>
  <c r="G195" i="1"/>
  <c r="L195" i="1" s="1"/>
  <c r="G365" i="1"/>
  <c r="J365" i="1" s="1"/>
  <c r="G407" i="1"/>
  <c r="L407" i="1" s="1"/>
  <c r="G418" i="1"/>
  <c r="J418" i="1" s="1"/>
  <c r="G429" i="1"/>
  <c r="L429" i="1" s="1"/>
  <c r="G440" i="1"/>
  <c r="L440" i="1" s="1"/>
  <c r="G451" i="1"/>
  <c r="L451" i="1" s="1"/>
  <c r="G462" i="1"/>
  <c r="L462" i="1" s="1"/>
  <c r="G473" i="1"/>
  <c r="L473" i="1" s="1"/>
  <c r="G484" i="1"/>
  <c r="L484" i="1" s="1"/>
  <c r="G376" i="1"/>
  <c r="L376" i="1" s="1"/>
  <c r="L52" i="1"/>
  <c r="M451" i="1"/>
  <c r="M440" i="1"/>
  <c r="M429" i="1"/>
  <c r="M418" i="1"/>
  <c r="M407" i="1"/>
  <c r="M365" i="1"/>
  <c r="M195" i="1"/>
  <c r="M206" i="1"/>
  <c r="M184" i="1"/>
  <c r="M354" i="1"/>
  <c r="M343" i="1"/>
  <c r="M332" i="1"/>
  <c r="M546" i="1"/>
  <c r="M245" i="1"/>
  <c r="M545" i="1"/>
  <c r="M321" i="1"/>
  <c r="M310" i="1"/>
  <c r="M299" i="1"/>
  <c r="M544" i="1"/>
  <c r="M543" i="1"/>
  <c r="M288" i="1"/>
  <c r="M542" i="1"/>
  <c r="M173" i="1"/>
  <c r="J374" i="1"/>
  <c r="I374" i="1"/>
  <c r="J471" i="1"/>
  <c r="I471" i="1"/>
  <c r="J460" i="1"/>
  <c r="I460" i="1"/>
  <c r="J449" i="1"/>
  <c r="I449" i="1"/>
  <c r="J438" i="1"/>
  <c r="I438" i="1"/>
  <c r="J427" i="1"/>
  <c r="I427" i="1"/>
  <c r="J416" i="1"/>
  <c r="I416" i="1"/>
  <c r="J363" i="1"/>
  <c r="I363" i="1"/>
  <c r="J193" i="1"/>
  <c r="I193" i="1"/>
  <c r="J204" i="1"/>
  <c r="I204" i="1"/>
  <c r="J529" i="1"/>
  <c r="I529" i="1"/>
  <c r="J182" i="1"/>
  <c r="I182" i="1"/>
  <c r="J528" i="1"/>
  <c r="I528" i="1"/>
  <c r="J527" i="1"/>
  <c r="I527" i="1"/>
  <c r="J352" i="1"/>
  <c r="I352" i="1"/>
  <c r="J341" i="1"/>
  <c r="I341" i="1"/>
  <c r="J330" i="1"/>
  <c r="I330" i="1"/>
  <c r="J526" i="1"/>
  <c r="I526" i="1"/>
  <c r="J243" i="1"/>
  <c r="I243" i="1"/>
  <c r="J525" i="1"/>
  <c r="I525" i="1"/>
  <c r="J319" i="1"/>
  <c r="I319" i="1"/>
  <c r="J308" i="1"/>
  <c r="I308" i="1"/>
  <c r="J297" i="1"/>
  <c r="I297" i="1"/>
  <c r="J524" i="1"/>
  <c r="I524" i="1"/>
  <c r="J523" i="1"/>
  <c r="I523" i="1"/>
  <c r="J522" i="1"/>
  <c r="I522" i="1"/>
  <c r="J171" i="1"/>
  <c r="I171" i="1"/>
  <c r="J520" i="1"/>
  <c r="I520" i="1"/>
  <c r="J160" i="1"/>
  <c r="I160" i="1"/>
  <c r="J149" i="1"/>
  <c r="I149" i="1"/>
  <c r="J138" i="1"/>
  <c r="I138" i="1"/>
  <c r="J127" i="1"/>
  <c r="I127" i="1"/>
  <c r="J521" i="1"/>
  <c r="I521" i="1"/>
  <c r="J116" i="1"/>
  <c r="I116" i="1"/>
  <c r="J105" i="1"/>
  <c r="I105" i="1"/>
  <c r="J94" i="1"/>
  <c r="I94" i="1"/>
  <c r="J55" i="1"/>
  <c r="I55" i="1"/>
  <c r="J373" i="1"/>
  <c r="I373" i="1"/>
  <c r="J470" i="1"/>
  <c r="I470" i="1"/>
  <c r="J459" i="1"/>
  <c r="I459" i="1"/>
  <c r="J448" i="1"/>
  <c r="I448" i="1"/>
  <c r="J437" i="1"/>
  <c r="I437" i="1"/>
  <c r="J426" i="1"/>
  <c r="I426" i="1"/>
  <c r="J415" i="1"/>
  <c r="I415" i="1"/>
  <c r="J362" i="1"/>
  <c r="I362" i="1"/>
  <c r="J192" i="1"/>
  <c r="I192" i="1"/>
  <c r="J203" i="1"/>
  <c r="I203" i="1"/>
  <c r="J519" i="1"/>
  <c r="I519" i="1"/>
  <c r="J181" i="1"/>
  <c r="I181" i="1"/>
  <c r="J518" i="1"/>
  <c r="I518" i="1"/>
  <c r="J517" i="1"/>
  <c r="I517" i="1"/>
  <c r="J351" i="1"/>
  <c r="I351" i="1"/>
  <c r="J340" i="1"/>
  <c r="I340" i="1"/>
  <c r="J329" i="1"/>
  <c r="I329" i="1"/>
  <c r="J516" i="1"/>
  <c r="I516" i="1"/>
  <c r="J242" i="1"/>
  <c r="I242" i="1"/>
  <c r="J515" i="1"/>
  <c r="I515" i="1"/>
  <c r="J318" i="1"/>
  <c r="I318" i="1"/>
  <c r="J307" i="1"/>
  <c r="I307" i="1"/>
  <c r="J296" i="1"/>
  <c r="I296" i="1"/>
  <c r="J514" i="1"/>
  <c r="I514" i="1"/>
  <c r="J513" i="1"/>
  <c r="I513" i="1"/>
  <c r="J512" i="1"/>
  <c r="I512" i="1"/>
  <c r="J170" i="1"/>
  <c r="I170" i="1"/>
  <c r="J510" i="1"/>
  <c r="I510" i="1"/>
  <c r="J159" i="1"/>
  <c r="I159" i="1"/>
  <c r="J148" i="1"/>
  <c r="I148" i="1"/>
  <c r="J137" i="1"/>
  <c r="I137" i="1"/>
  <c r="J126" i="1"/>
  <c r="I126" i="1"/>
  <c r="J511" i="1"/>
  <c r="I511" i="1"/>
  <c r="J115" i="1"/>
  <c r="I115" i="1"/>
  <c r="J104" i="1"/>
  <c r="I104" i="1"/>
  <c r="J93" i="1"/>
  <c r="I93" i="1"/>
  <c r="J54" i="1"/>
  <c r="I54" i="1"/>
  <c r="J372" i="1"/>
  <c r="I372" i="1"/>
  <c r="I480" i="1"/>
  <c r="J469" i="1"/>
  <c r="I469" i="1"/>
  <c r="J458" i="1"/>
  <c r="I458" i="1"/>
  <c r="J447" i="1"/>
  <c r="I447" i="1"/>
  <c r="J436" i="1"/>
  <c r="I436" i="1"/>
  <c r="J425" i="1"/>
  <c r="I425" i="1"/>
  <c r="J414" i="1"/>
  <c r="I414" i="1"/>
  <c r="J403" i="1"/>
  <c r="I403" i="1"/>
  <c r="J361" i="1"/>
  <c r="I361" i="1"/>
  <c r="J191" i="1"/>
  <c r="I191" i="1"/>
  <c r="J202" i="1"/>
  <c r="I202" i="1"/>
  <c r="J509" i="1"/>
  <c r="I509" i="1"/>
  <c r="J180" i="1"/>
  <c r="I180" i="1"/>
  <c r="J508" i="1"/>
  <c r="I508" i="1"/>
  <c r="J507" i="1"/>
  <c r="I507" i="1"/>
  <c r="J350" i="1"/>
  <c r="I350" i="1"/>
  <c r="J506" i="1"/>
  <c r="I506" i="1"/>
  <c r="J241" i="1"/>
  <c r="I241" i="1"/>
  <c r="J505" i="1"/>
  <c r="I505" i="1"/>
  <c r="J317" i="1"/>
  <c r="I317" i="1"/>
  <c r="J306" i="1"/>
  <c r="I306" i="1"/>
  <c r="J295" i="1"/>
  <c r="I295" i="1"/>
  <c r="J503" i="1"/>
  <c r="I503" i="1"/>
  <c r="J502" i="1"/>
  <c r="I502" i="1"/>
  <c r="J169" i="1"/>
  <c r="I169" i="1"/>
  <c r="J500" i="1"/>
  <c r="I500" i="1"/>
  <c r="J158" i="1"/>
  <c r="I158" i="1"/>
  <c r="J147" i="1"/>
  <c r="I147" i="1"/>
  <c r="J136" i="1"/>
  <c r="I136" i="1"/>
  <c r="J125" i="1"/>
  <c r="I125" i="1"/>
  <c r="J501" i="1"/>
  <c r="I501" i="1"/>
  <c r="J114" i="1"/>
  <c r="I114" i="1"/>
  <c r="J103" i="1"/>
  <c r="I103" i="1"/>
  <c r="J92" i="1"/>
  <c r="I92" i="1"/>
  <c r="J53" i="1"/>
  <c r="I53" i="1"/>
  <c r="J371" i="1"/>
  <c r="I371" i="1"/>
  <c r="I479" i="1"/>
  <c r="J468" i="1"/>
  <c r="I468" i="1"/>
  <c r="J457" i="1"/>
  <c r="I457" i="1"/>
  <c r="J446" i="1"/>
  <c r="I446" i="1"/>
  <c r="J435" i="1"/>
  <c r="I435" i="1"/>
  <c r="J424" i="1"/>
  <c r="I424" i="1"/>
  <c r="J413" i="1"/>
  <c r="I413" i="1"/>
  <c r="J402" i="1"/>
  <c r="I402" i="1"/>
  <c r="J360" i="1"/>
  <c r="I360" i="1"/>
  <c r="J190" i="1"/>
  <c r="I190" i="1"/>
  <c r="J201" i="1"/>
  <c r="I201" i="1"/>
  <c r="J499" i="1"/>
  <c r="I499" i="1"/>
  <c r="J179" i="1"/>
  <c r="I179" i="1"/>
  <c r="J498" i="1"/>
  <c r="I498" i="1"/>
  <c r="J497" i="1"/>
  <c r="I497" i="1"/>
  <c r="J349" i="1"/>
  <c r="I349" i="1"/>
  <c r="J338" i="1"/>
  <c r="I338" i="1"/>
  <c r="J327" i="1"/>
  <c r="I327" i="1"/>
  <c r="J496" i="1"/>
  <c r="I496" i="1"/>
  <c r="J240" i="1"/>
  <c r="I240" i="1"/>
  <c r="J495" i="1"/>
  <c r="I495" i="1"/>
  <c r="J316" i="1"/>
  <c r="I316" i="1"/>
  <c r="J305" i="1"/>
  <c r="I305" i="1"/>
  <c r="J294" i="1"/>
  <c r="I294" i="1"/>
  <c r="J494" i="1"/>
  <c r="I494" i="1"/>
  <c r="J493" i="1"/>
  <c r="I493" i="1"/>
  <c r="J283" i="1"/>
  <c r="I283" i="1"/>
  <c r="J492" i="1"/>
  <c r="I492" i="1"/>
  <c r="J168" i="1"/>
  <c r="I168" i="1"/>
  <c r="J490" i="1"/>
  <c r="I490" i="1"/>
  <c r="J157" i="1"/>
  <c r="I157" i="1"/>
  <c r="J146" i="1"/>
  <c r="I146" i="1"/>
  <c r="J135" i="1"/>
  <c r="I135" i="1"/>
  <c r="J124" i="1"/>
  <c r="I124" i="1"/>
  <c r="J491" i="1"/>
  <c r="I491" i="1"/>
  <c r="J113" i="1"/>
  <c r="I113" i="1"/>
  <c r="J102" i="1"/>
  <c r="I102" i="1"/>
  <c r="J91" i="1"/>
  <c r="I91" i="1"/>
  <c r="J52" i="1"/>
  <c r="I52" i="1"/>
  <c r="L12" i="1" l="1"/>
  <c r="L370" i="1"/>
  <c r="L299" i="1"/>
  <c r="L293" i="1"/>
  <c r="J367" i="1"/>
  <c r="J46" i="1"/>
  <c r="J6" i="1"/>
  <c r="J478" i="1"/>
  <c r="L207" i="1"/>
  <c r="L211" i="1"/>
  <c r="J250" i="1"/>
  <c r="J200" i="1"/>
  <c r="L489" i="1"/>
  <c r="L445" i="1"/>
  <c r="J434" i="1"/>
  <c r="L423" i="1"/>
  <c r="L401" i="1"/>
  <c r="L389" i="1"/>
  <c r="L385" i="1"/>
  <c r="J359" i="1"/>
  <c r="J337" i="1"/>
  <c r="J326" i="1"/>
  <c r="L315" i="1"/>
  <c r="J304" i="1"/>
  <c r="J266" i="1"/>
  <c r="L262" i="1"/>
  <c r="L239" i="1"/>
  <c r="L235" i="1"/>
  <c r="L231" i="1"/>
  <c r="J215" i="1"/>
  <c r="L189" i="1"/>
  <c r="L36" i="1"/>
  <c r="L31" i="1"/>
  <c r="L26" i="1"/>
  <c r="L21" i="1"/>
  <c r="J16" i="1"/>
  <c r="L11" i="1"/>
  <c r="J476" i="1"/>
  <c r="J134" i="1"/>
  <c r="J488" i="1"/>
  <c r="L97" i="1"/>
  <c r="J444" i="1"/>
  <c r="J62" i="1"/>
  <c r="L43" i="1"/>
  <c r="J477" i="1"/>
  <c r="J433" i="1"/>
  <c r="J422" i="1"/>
  <c r="J167" i="1"/>
  <c r="L156" i="1"/>
  <c r="L145" i="1"/>
  <c r="J123" i="1"/>
  <c r="J112" i="1"/>
  <c r="J101" i="1"/>
  <c r="L454" i="1"/>
  <c r="J132" i="1"/>
  <c r="J324" i="1"/>
  <c r="L432" i="1"/>
  <c r="J356" i="1"/>
  <c r="J264" i="1"/>
  <c r="L99" i="1"/>
  <c r="J232" i="1"/>
  <c r="L555" i="1"/>
  <c r="J142" i="1"/>
  <c r="L419" i="1"/>
  <c r="J14" i="1"/>
  <c r="L291" i="1"/>
  <c r="J34" i="1"/>
  <c r="J453" i="1"/>
  <c r="L163" i="1"/>
  <c r="L152" i="1"/>
  <c r="J209" i="1"/>
  <c r="J473" i="1"/>
  <c r="L455" i="1"/>
  <c r="L198" i="1"/>
  <c r="J421" i="1"/>
  <c r="J206" i="1"/>
  <c r="J334" i="1"/>
  <c r="J545" i="1"/>
  <c r="L369" i="1"/>
  <c r="L233" i="1"/>
  <c r="J42" i="1"/>
  <c r="J57" i="1"/>
  <c r="J475" i="1"/>
  <c r="L154" i="1"/>
  <c r="J108" i="1"/>
  <c r="L333" i="1"/>
  <c r="L2" i="1"/>
  <c r="J208" i="1"/>
  <c r="L553" i="1"/>
  <c r="L199" i="1"/>
  <c r="L265" i="1"/>
  <c r="J234" i="1"/>
  <c r="J188" i="1"/>
  <c r="J303" i="1"/>
  <c r="J325" i="1"/>
  <c r="J210" i="1"/>
  <c r="J358" i="1"/>
  <c r="J214" i="1"/>
  <c r="J292" i="1"/>
  <c r="J314" i="1"/>
  <c r="J336" i="1"/>
  <c r="L166" i="1"/>
  <c r="L30" i="1"/>
  <c r="J45" i="1"/>
  <c r="J35" i="1"/>
  <c r="J15" i="1"/>
  <c r="J5" i="1"/>
  <c r="L32" i="1"/>
  <c r="J543" i="1"/>
  <c r="L420" i="1"/>
  <c r="L22" i="1"/>
  <c r="L546" i="1"/>
  <c r="J196" i="1"/>
  <c r="J186" i="1"/>
  <c r="L153" i="1"/>
  <c r="J13" i="1"/>
  <c r="J131" i="1"/>
  <c r="J107" i="1"/>
  <c r="J323" i="1"/>
  <c r="L58" i="1"/>
  <c r="J430" i="1"/>
  <c r="J246" i="1"/>
  <c r="J162" i="1"/>
  <c r="L185" i="1"/>
  <c r="L302" i="1"/>
  <c r="J197" i="1"/>
  <c r="J556" i="1"/>
  <c r="J550" i="1"/>
  <c r="L59" i="1"/>
  <c r="L184" i="1"/>
  <c r="J540" i="1"/>
  <c r="L4" i="1"/>
  <c r="L3" i="1"/>
  <c r="J96" i="1"/>
  <c r="L321" i="1"/>
  <c r="L357" i="1"/>
  <c r="J544" i="1"/>
  <c r="L85" i="1"/>
  <c r="J27" i="1"/>
  <c r="L28" i="1"/>
  <c r="J98" i="1"/>
  <c r="L418" i="1"/>
  <c r="L343" i="1"/>
  <c r="L213" i="1"/>
  <c r="L301" i="1"/>
  <c r="J212" i="1"/>
  <c r="L29" i="1"/>
  <c r="L313" i="1"/>
  <c r="L311" i="1"/>
  <c r="J60" i="1"/>
  <c r="J442" i="1"/>
  <c r="J300" i="1"/>
  <c r="L44" i="1"/>
  <c r="L118" i="1"/>
  <c r="J130" i="1"/>
  <c r="J322" i="1"/>
  <c r="L187" i="1"/>
  <c r="L335" i="1"/>
  <c r="J61" i="1"/>
  <c r="L165" i="1"/>
  <c r="J164" i="1"/>
  <c r="L310" i="1"/>
  <c r="J120" i="1"/>
  <c r="L141" i="1"/>
  <c r="J312" i="1"/>
  <c r="J541" i="1"/>
  <c r="J121" i="1"/>
  <c r="J110" i="1"/>
  <c r="L140" i="1"/>
  <c r="J100" i="1"/>
  <c r="L431" i="1"/>
  <c r="L288" i="1"/>
  <c r="J33" i="1"/>
  <c r="J368" i="1"/>
  <c r="J429" i="1"/>
  <c r="J551" i="1"/>
  <c r="J440" i="1"/>
  <c r="L109" i="1"/>
  <c r="L263" i="1"/>
  <c r="L355" i="1"/>
  <c r="J129" i="1"/>
  <c r="J332" i="1"/>
  <c r="L554" i="1"/>
  <c r="L143" i="1"/>
  <c r="J195" i="1"/>
  <c r="L290" i="1"/>
  <c r="J173" i="1"/>
  <c r="L65" i="1"/>
  <c r="J155" i="1"/>
  <c r="L89" i="1"/>
  <c r="L119" i="1"/>
  <c r="L111" i="1"/>
  <c r="L542" i="1"/>
  <c r="L354" i="1"/>
  <c r="L151" i="1"/>
  <c r="L69" i="1"/>
  <c r="L122" i="1"/>
  <c r="L365" i="1"/>
  <c r="L73" i="1"/>
  <c r="L133" i="1"/>
  <c r="L245" i="1"/>
  <c r="L77" i="1"/>
  <c r="L144" i="1"/>
</calcChain>
</file>

<file path=xl/sharedStrings.xml><?xml version="1.0" encoding="utf-8"?>
<sst xmlns="http://schemas.openxmlformats.org/spreadsheetml/2006/main" count="5612" uniqueCount="685">
  <si>
    <t>Lokalitet</t>
  </si>
  <si>
    <t>Dato</t>
  </si>
  <si>
    <t>Tidsbruk (timer)</t>
  </si>
  <si>
    <t>Naturtype</t>
  </si>
  <si>
    <t>Naturtype.tekst</t>
  </si>
  <si>
    <t>Design</t>
  </si>
  <si>
    <t>Ant.transekt</t>
  </si>
  <si>
    <t>Transektbredde</t>
  </si>
  <si>
    <t>Beskrivelse midt</t>
  </si>
  <si>
    <t>Kommentar</t>
  </si>
  <si>
    <t>Filletassen</t>
  </si>
  <si>
    <t>ME, LIK</t>
  </si>
  <si>
    <t>T33-C2</t>
  </si>
  <si>
    <t>Semi-naturlig strandeng, øvre</t>
  </si>
  <si>
    <t>Slås årlig. Beites av 2-3 sauer</t>
  </si>
  <si>
    <t>Rose</t>
  </si>
  <si>
    <t>Spiss på stein/svaberg</t>
  </si>
  <si>
    <t>ME, MH, LIK</t>
  </si>
  <si>
    <t>Tidsbruk for 3 personer inkl. reise. Selve registreringene tok 1,5 t x 3</t>
  </si>
  <si>
    <t>Skipstadsand</t>
  </si>
  <si>
    <t>ME, MH</t>
  </si>
  <si>
    <t>Slås to ganger i året</t>
  </si>
  <si>
    <t>Linje</t>
  </si>
  <si>
    <t>Tre parallelle transekter, øst-vest, 30 m lange, med ca. 10 m avstand</t>
  </si>
  <si>
    <t>Beite av storfe</t>
  </si>
  <si>
    <t>To transekter lagt i vinkel, som dekker hele lokaliteten på langs, variabel bredde, men i snitt 10 m?. Tidsbruk for kun registrering, ikke gå til og fra</t>
  </si>
  <si>
    <t>Skjellvik</t>
  </si>
  <si>
    <t>T32-C8|T32-C10|V9-C3</t>
  </si>
  <si>
    <t>Semi-naturlig myr (kalkrik) og semi-naturlig eng (kalkrik fukteng, sterkt kalkrik eng) med slåttepreg</t>
  </si>
  <si>
    <t xml:space="preserve">To sett med parallelle transekter. Sett 1: 50 m lange, dekker ca. 10 m hver i bredde. Sett 2: 40 m lange (37 og 43), dekker ca. 5 m hver i bredde. </t>
  </si>
  <si>
    <t>Transekt</t>
  </si>
  <si>
    <t>Lengde (m)</t>
  </si>
  <si>
    <t>Ant.0,5 m.med</t>
  </si>
  <si>
    <t>Ant.m.med</t>
  </si>
  <si>
    <t xml:space="preserve">Siktepunkt </t>
  </si>
  <si>
    <t>Forekomst honningblom (m)</t>
  </si>
  <si>
    <t>N</t>
  </si>
  <si>
    <t>NA</t>
  </si>
  <si>
    <t>Rett vest for rosebusk</t>
  </si>
  <si>
    <t xml:space="preserve">0-1,5 m dekkes av stein og utgår, samme med 2,5-4,5. </t>
  </si>
  <si>
    <t>3,5-6,5 utgår pga stein.</t>
  </si>
  <si>
    <t>S</t>
  </si>
  <si>
    <t>Einebusk i fjellskrent</t>
  </si>
  <si>
    <t>4.5, 11.5, 12, 12.5, 13</t>
  </si>
  <si>
    <t>SV</t>
  </si>
  <si>
    <t>Bergsprekk</t>
  </si>
  <si>
    <t>2, 2.5, 5.5, 7.5</t>
  </si>
  <si>
    <t>V</t>
  </si>
  <si>
    <t>Vest for bergsprekk</t>
  </si>
  <si>
    <t>1, 1.5, 2.5, 4, 4.5, 5, 6.5, 7</t>
  </si>
  <si>
    <t>NV</t>
  </si>
  <si>
    <t>1 m vest for stein</t>
  </si>
  <si>
    <t>12-20 m er kort nedbeita vegetasjon. 4-12 m for øyeblikker uegnet for honningblom pga jordrotter. Stoppet transektet på rute 11,5.</t>
  </si>
  <si>
    <t>M med honningblom er rute SKI.1.A</t>
  </si>
  <si>
    <t>M med honningblom er rute SKI.2.A</t>
  </si>
  <si>
    <t>11.5, 12, 12.5, 13</t>
  </si>
  <si>
    <t>2, 2.5</t>
  </si>
  <si>
    <t>2.5, 4.5, 5, 5.5, 6.5, 7</t>
  </si>
  <si>
    <t>1.5, 2</t>
  </si>
  <si>
    <t>Ca. N-S, starter ved steinen bak rute TEN8. Bredde varierer mellom 5 og 20 m. Ruter på 5, 15, 25 m</t>
  </si>
  <si>
    <t>Retning NV, starter ved TEN9. Bredde ca. 10 m. Ruter på 10 og 20 m</t>
  </si>
  <si>
    <t>3,4,5,6,7,8</t>
  </si>
  <si>
    <t>Ruter på 5, 15, 25, 35 og 45 m</t>
  </si>
  <si>
    <t>1,5,8,9,10</t>
  </si>
  <si>
    <t>0,3,5,6,7,13</t>
  </si>
  <si>
    <t>Ruter på 3, 13, 23 og 33</t>
  </si>
  <si>
    <t>0,3,7,26,33,34</t>
  </si>
  <si>
    <t>Ruter på 7, 17 og 27</t>
  </si>
  <si>
    <t>Lok2</t>
  </si>
  <si>
    <t>Rute</t>
  </si>
  <si>
    <t>Rute.ID</t>
  </si>
  <si>
    <t>Retn</t>
  </si>
  <si>
    <t>Avst</t>
  </si>
  <si>
    <t>Vekstrate</t>
  </si>
  <si>
    <t>Ant.individer</t>
  </si>
  <si>
    <t>Ant.fertile</t>
  </si>
  <si>
    <t>Ant.vegetative</t>
  </si>
  <si>
    <t>And.fertile</t>
  </si>
  <si>
    <t>Rutestrl</t>
  </si>
  <si>
    <t>Ant.pr.0.25m2</t>
  </si>
  <si>
    <t>Biomasse</t>
  </si>
  <si>
    <t>Veg.hoyde</t>
  </si>
  <si>
    <t>Felt.dekning</t>
  </si>
  <si>
    <t>Bunn.dekning</t>
  </si>
  <si>
    <t>Fuktighet</t>
  </si>
  <si>
    <t>Beite</t>
  </si>
  <si>
    <t>Gjengroingsart.dekn</t>
  </si>
  <si>
    <t>Gjengroing.art</t>
  </si>
  <si>
    <t>Komm</t>
  </si>
  <si>
    <t>Veg-h1</t>
  </si>
  <si>
    <t>Veg-h2</t>
  </si>
  <si>
    <t>Veg-h3</t>
  </si>
  <si>
    <t>Veg-h4</t>
  </si>
  <si>
    <t>FI.01</t>
  </si>
  <si>
    <t>FI1</t>
  </si>
  <si>
    <t>Myrtistel</t>
  </si>
  <si>
    <t>I kant av sti</t>
  </si>
  <si>
    <t>FI.02</t>
  </si>
  <si>
    <t>FI2</t>
  </si>
  <si>
    <t>Mjødurt (0,5), myrtistel (1)</t>
  </si>
  <si>
    <t>FI.03</t>
  </si>
  <si>
    <t>FI3</t>
  </si>
  <si>
    <t>Mjødurt</t>
  </si>
  <si>
    <t>Ingen</t>
  </si>
  <si>
    <t>FI.04</t>
  </si>
  <si>
    <t>FI4</t>
  </si>
  <si>
    <t>Mjødurt (9), myrtistel (1)</t>
  </si>
  <si>
    <t>FI.05</t>
  </si>
  <si>
    <t>FI5</t>
  </si>
  <si>
    <t>Mytistel (5), mjødurt (1)</t>
  </si>
  <si>
    <t>I kant av sti, noe jordrottepåvirkning</t>
  </si>
  <si>
    <t>FI.06</t>
  </si>
  <si>
    <t>FI6</t>
  </si>
  <si>
    <t>FI.07</t>
  </si>
  <si>
    <t>FI7</t>
  </si>
  <si>
    <t>FI.08</t>
  </si>
  <si>
    <t>FI8</t>
  </si>
  <si>
    <t>I stien, mye tråkk</t>
  </si>
  <si>
    <t>FI.09</t>
  </si>
  <si>
    <t>FI9</t>
  </si>
  <si>
    <t>FI.10</t>
  </si>
  <si>
    <t>FI10</t>
  </si>
  <si>
    <t>SKI.1.A</t>
  </si>
  <si>
    <t>SKI1</t>
  </si>
  <si>
    <t>TR1</t>
  </si>
  <si>
    <t>SKI.10.A</t>
  </si>
  <si>
    <t>SKI.11</t>
  </si>
  <si>
    <t>SKI11</t>
  </si>
  <si>
    <t>SKI.12</t>
  </si>
  <si>
    <t>SKI12</t>
  </si>
  <si>
    <t>SKI.13</t>
  </si>
  <si>
    <t>SKI13</t>
  </si>
  <si>
    <t>TR3</t>
  </si>
  <si>
    <t>Mjødurt+kvann</t>
  </si>
  <si>
    <t>SKI.14</t>
  </si>
  <si>
    <t>SKI14</t>
  </si>
  <si>
    <t>SKI.15</t>
  </si>
  <si>
    <t>SKI15</t>
  </si>
  <si>
    <t>TR2</t>
  </si>
  <si>
    <t>SKI.16</t>
  </si>
  <si>
    <t>SKI16</t>
  </si>
  <si>
    <t>SKI.17</t>
  </si>
  <si>
    <t>SKI17</t>
  </si>
  <si>
    <t>SKI.2.A</t>
  </si>
  <si>
    <t>SKI2</t>
  </si>
  <si>
    <t>SKI.3.A</t>
  </si>
  <si>
    <t>SKI3</t>
  </si>
  <si>
    <t>Kvann</t>
  </si>
  <si>
    <t>SKI.4.A</t>
  </si>
  <si>
    <t>SKI4</t>
  </si>
  <si>
    <t>SKI.5.A</t>
  </si>
  <si>
    <t>SKI.6.A</t>
  </si>
  <si>
    <t>SKI6</t>
  </si>
  <si>
    <t>SKI.7.A</t>
  </si>
  <si>
    <t>SKI7</t>
  </si>
  <si>
    <t>SKI.8.A</t>
  </si>
  <si>
    <t>SKI8</t>
  </si>
  <si>
    <t>ormetunge</t>
  </si>
  <si>
    <t>SKI.9.A</t>
  </si>
  <si>
    <t>SKI9</t>
  </si>
  <si>
    <t>Skjellvik.ute</t>
  </si>
  <si>
    <t>SKX.1.A</t>
  </si>
  <si>
    <t>SKJ1</t>
  </si>
  <si>
    <t>08.06.2020/09.06.2020</t>
  </si>
  <si>
    <t>SKX.10.A</t>
  </si>
  <si>
    <t>SKJ2</t>
  </si>
  <si>
    <t>SKX.2.A</t>
  </si>
  <si>
    <t>SKX.3.A</t>
  </si>
  <si>
    <t>SKJ3</t>
  </si>
  <si>
    <t>SKX.4.A</t>
  </si>
  <si>
    <t>SKX.5.A</t>
  </si>
  <si>
    <t>SKX.6.A</t>
  </si>
  <si>
    <t>SKJ4</t>
  </si>
  <si>
    <t>SKX.7.A</t>
  </si>
  <si>
    <t>SKJ5</t>
  </si>
  <si>
    <t>SKX.8.A</t>
  </si>
  <si>
    <t>SKJ6</t>
  </si>
  <si>
    <t>SKX.9.A</t>
  </si>
  <si>
    <t>Skjellvik.inne</t>
  </si>
  <si>
    <t>SKY.1.A</t>
  </si>
  <si>
    <t>Vedplanter</t>
  </si>
  <si>
    <t>SKY.10.A</t>
  </si>
  <si>
    <t>SKJ11</t>
  </si>
  <si>
    <t>Bukkebeinurt</t>
  </si>
  <si>
    <t>bukkebeinurt</t>
  </si>
  <si>
    <t>SKY.13</t>
  </si>
  <si>
    <t>SKJ13</t>
  </si>
  <si>
    <t>Vier+kvann+mjødurt</t>
  </si>
  <si>
    <t>SKY.14</t>
  </si>
  <si>
    <t>SKJ14</t>
  </si>
  <si>
    <t>Pors+myrtistel+mjødurt</t>
  </si>
  <si>
    <t>SKY.15</t>
  </si>
  <si>
    <t>SKJ15</t>
  </si>
  <si>
    <t>Slåpetorn</t>
  </si>
  <si>
    <t>Utenfor gjerdet</t>
  </si>
  <si>
    <t>SKY.16</t>
  </si>
  <si>
    <t>SKJ16</t>
  </si>
  <si>
    <t>Bjørnebær</t>
  </si>
  <si>
    <t>SKY.17</t>
  </si>
  <si>
    <t>SKJ17</t>
  </si>
  <si>
    <t>SKY.18</t>
  </si>
  <si>
    <t>SKJ18</t>
  </si>
  <si>
    <t>Pors</t>
  </si>
  <si>
    <t>SKY.19</t>
  </si>
  <si>
    <t>SKJ19</t>
  </si>
  <si>
    <t>SKY.2.A</t>
  </si>
  <si>
    <t>SKJ7</t>
  </si>
  <si>
    <t>SKY.20</t>
  </si>
  <si>
    <t>SKJ20</t>
  </si>
  <si>
    <t>Lagt på 24.5 m, akkurat innenfor gjerdet</t>
  </si>
  <si>
    <t>SKY.21</t>
  </si>
  <si>
    <t>SKJ21</t>
  </si>
  <si>
    <t>Einer</t>
  </si>
  <si>
    <t>SKY.22</t>
  </si>
  <si>
    <t>SKJ22</t>
  </si>
  <si>
    <t>Einer+røsslyng</t>
  </si>
  <si>
    <t>SKY.23</t>
  </si>
  <si>
    <t>SKJ23</t>
  </si>
  <si>
    <t>Mjødurt+bukkebeinurt+KVANN</t>
  </si>
  <si>
    <t>Merket på GPS som 23 og 24</t>
  </si>
  <si>
    <t>SKY.24</t>
  </si>
  <si>
    <t>SKJ24</t>
  </si>
  <si>
    <t>SKY.25</t>
  </si>
  <si>
    <t>SKJ25</t>
  </si>
  <si>
    <t>Mjødurt+bukkebeinurt</t>
  </si>
  <si>
    <t>SKY.26</t>
  </si>
  <si>
    <t>SKJ26</t>
  </si>
  <si>
    <t>TR4</t>
  </si>
  <si>
    <t>SKY.27</t>
  </si>
  <si>
    <t>SKJ27</t>
  </si>
  <si>
    <t>Mjødurt+svartor</t>
  </si>
  <si>
    <t>SKY.3.A</t>
  </si>
  <si>
    <t>SKJ8</t>
  </si>
  <si>
    <t>SKY.4.A</t>
  </si>
  <si>
    <t>SKJ9</t>
  </si>
  <si>
    <t>SKY.5.A</t>
  </si>
  <si>
    <t>SKY.6.A</t>
  </si>
  <si>
    <t>TEN.1.A</t>
  </si>
  <si>
    <t>TEN1</t>
  </si>
  <si>
    <t>tusengylden</t>
  </si>
  <si>
    <t>TEN.10.A</t>
  </si>
  <si>
    <t>TEN10</t>
  </si>
  <si>
    <t>TEN.2.A</t>
  </si>
  <si>
    <t>TEN2</t>
  </si>
  <si>
    <t xml:space="preserve">Beite </t>
  </si>
  <si>
    <t>TEN.3.A</t>
  </si>
  <si>
    <t>TEN3</t>
  </si>
  <si>
    <t>Ett fertilt indvid beitet</t>
  </si>
  <si>
    <t>TEN.4.A</t>
  </si>
  <si>
    <t>TEN4</t>
  </si>
  <si>
    <t>Fant ikke rute. Manglet god metalldetektor</t>
  </si>
  <si>
    <t>TEN.5.A</t>
  </si>
  <si>
    <t>TEN5</t>
  </si>
  <si>
    <t>TEN.6.A</t>
  </si>
  <si>
    <t>TEN6</t>
  </si>
  <si>
    <t>TEN.7.A</t>
  </si>
  <si>
    <t>TEN7</t>
  </si>
  <si>
    <t>Fant kun 2 hjørmer</t>
  </si>
  <si>
    <t>Fant 3 hjørner</t>
  </si>
  <si>
    <t>Fant kun ett hjørne, så registrerte ikke</t>
  </si>
  <si>
    <t>TEN.8.A</t>
  </si>
  <si>
    <t>TEN8</t>
  </si>
  <si>
    <t>Myrtistel+mjødurt</t>
  </si>
  <si>
    <t>TEN.9.A</t>
  </si>
  <si>
    <t>TEN9</t>
  </si>
  <si>
    <t>TEN11</t>
  </si>
  <si>
    <t>TEN12</t>
  </si>
  <si>
    <t>TEN13</t>
  </si>
  <si>
    <t>TEN14</t>
  </si>
  <si>
    <t>TEN15</t>
  </si>
  <si>
    <t>nattfiol</t>
  </si>
  <si>
    <t>SKY.7.A</t>
  </si>
  <si>
    <t>SKJ10</t>
  </si>
  <si>
    <t>SKY.8.A</t>
  </si>
  <si>
    <t>SKY.9.A</t>
  </si>
  <si>
    <t>SKJ12</t>
  </si>
  <si>
    <t>Pors+mjødurt</t>
  </si>
  <si>
    <t>RuteID</t>
  </si>
  <si>
    <t>RuteID_hj</t>
  </si>
  <si>
    <t>UTMY</t>
  </si>
  <si>
    <t>UTMX</t>
  </si>
  <si>
    <t>SKI1.1</t>
  </si>
  <si>
    <t>SKI1.2</t>
  </si>
  <si>
    <t>SKI1.3</t>
  </si>
  <si>
    <t>SKI1.4</t>
  </si>
  <si>
    <t>SKI2.1</t>
  </si>
  <si>
    <t>SKI2.2</t>
  </si>
  <si>
    <t>SKI2.3</t>
  </si>
  <si>
    <t>SKI2.4</t>
  </si>
  <si>
    <t>SKI3.1</t>
  </si>
  <si>
    <t>SKI3.2</t>
  </si>
  <si>
    <t>SKI3.3</t>
  </si>
  <si>
    <t>SKI3.4</t>
  </si>
  <si>
    <t>SKI4.1</t>
  </si>
  <si>
    <t>SKI4.2</t>
  </si>
  <si>
    <t>SKI4.3</t>
  </si>
  <si>
    <t>SKI4.4</t>
  </si>
  <si>
    <t>SKI6.1</t>
  </si>
  <si>
    <t>SKI6.2</t>
  </si>
  <si>
    <t>SKI6.3</t>
  </si>
  <si>
    <t>SKI6.4</t>
  </si>
  <si>
    <t>SKI7.1</t>
  </si>
  <si>
    <t>SKI7.2</t>
  </si>
  <si>
    <t>SKI7.3</t>
  </si>
  <si>
    <t>SKI7.4</t>
  </si>
  <si>
    <t>SKI8.1</t>
  </si>
  <si>
    <t>SKI8.2</t>
  </si>
  <si>
    <t>SKI8.3</t>
  </si>
  <si>
    <t>SKI8.4</t>
  </si>
  <si>
    <t>SKI9.1</t>
  </si>
  <si>
    <t>SKI9.2</t>
  </si>
  <si>
    <t>SKI9.3</t>
  </si>
  <si>
    <t>SKI9.4</t>
  </si>
  <si>
    <t>SKI_T1</t>
  </si>
  <si>
    <t>SKI_T1.s</t>
  </si>
  <si>
    <t>SKI_T1.e</t>
  </si>
  <si>
    <t>SK11_1</t>
  </si>
  <si>
    <t>SK11_2</t>
  </si>
  <si>
    <t>SK12_1</t>
  </si>
  <si>
    <t>SK12_2</t>
  </si>
  <si>
    <t>SKI_T3</t>
  </si>
  <si>
    <t>SKI_T3.s</t>
  </si>
  <si>
    <t>SKI_T3.e</t>
  </si>
  <si>
    <t>SKI13.1</t>
  </si>
  <si>
    <t>SKI13.2</t>
  </si>
  <si>
    <t>SKI14.1</t>
  </si>
  <si>
    <t>SKI14.2</t>
  </si>
  <si>
    <t>SKI_T2</t>
  </si>
  <si>
    <t>SKI_T2.s</t>
  </si>
  <si>
    <t>SKI_T2.e</t>
  </si>
  <si>
    <t>SKI15.1</t>
  </si>
  <si>
    <t>SKI15.2</t>
  </si>
  <si>
    <t>SKI16.1</t>
  </si>
  <si>
    <t>SKI16.2</t>
  </si>
  <si>
    <t>SKI17.1</t>
  </si>
  <si>
    <t>SKI17.2</t>
  </si>
  <si>
    <t>SKJ1.1</t>
  </si>
  <si>
    <t>SKJ1.2</t>
  </si>
  <si>
    <t>SKJ1.3</t>
  </si>
  <si>
    <t>SKJ1.4</t>
  </si>
  <si>
    <t>SKJ2.1</t>
  </si>
  <si>
    <t>SKJ2.2</t>
  </si>
  <si>
    <t>SKJ2.3</t>
  </si>
  <si>
    <t>SKJ2.4</t>
  </si>
  <si>
    <t>SKJ3.1</t>
  </si>
  <si>
    <t>SKJ3.2</t>
  </si>
  <si>
    <t>SKJ3.3</t>
  </si>
  <si>
    <t>SKJ3.4</t>
  </si>
  <si>
    <t>SKJ4.1</t>
  </si>
  <si>
    <t>SKJ4.2</t>
  </si>
  <si>
    <t>SKJ4.3</t>
  </si>
  <si>
    <t>SKJ4.4</t>
  </si>
  <si>
    <t>SKJ5.1</t>
  </si>
  <si>
    <t>SKJ5.2</t>
  </si>
  <si>
    <t>SKJ5.3</t>
  </si>
  <si>
    <t>SKJ5.4</t>
  </si>
  <si>
    <t>SKJ6.1</t>
  </si>
  <si>
    <t>SKJ6.2</t>
  </si>
  <si>
    <t>SKJ6.3</t>
  </si>
  <si>
    <t>SKJ6.4</t>
  </si>
  <si>
    <t>SKJ11.1</t>
  </si>
  <si>
    <t>SKJ11.2</t>
  </si>
  <si>
    <t>SKJ11.3</t>
  </si>
  <si>
    <t>SKJ11.4</t>
  </si>
  <si>
    <t>SKJ7.1</t>
  </si>
  <si>
    <t>SKJ7.2</t>
  </si>
  <si>
    <t>SKJ7.3</t>
  </si>
  <si>
    <t>SKJ7.4</t>
  </si>
  <si>
    <t>SKJ8.1</t>
  </si>
  <si>
    <t>SKJ8.2</t>
  </si>
  <si>
    <t>SKJ8.3</t>
  </si>
  <si>
    <t>SKJ8.4</t>
  </si>
  <si>
    <t>SKJ9.1</t>
  </si>
  <si>
    <t>SKJ9.2</t>
  </si>
  <si>
    <t>SKJ9.3</t>
  </si>
  <si>
    <t>SKJ9.4</t>
  </si>
  <si>
    <t>SKJ10.1</t>
  </si>
  <si>
    <t>SKJ10.2</t>
  </si>
  <si>
    <t>SKJ10.3</t>
  </si>
  <si>
    <t>SKJ10.4</t>
  </si>
  <si>
    <t>SKJ12.1</t>
  </si>
  <si>
    <t>SKJ12.2</t>
  </si>
  <si>
    <t>SKJ12.3</t>
  </si>
  <si>
    <t>SKJ12.4</t>
  </si>
  <si>
    <t>SKJ_T1</t>
  </si>
  <si>
    <t>SKJ_T1.s</t>
  </si>
  <si>
    <t>SKJ_T1.e</t>
  </si>
  <si>
    <t>SKJ13.1</t>
  </si>
  <si>
    <t>SKJ13.2</t>
  </si>
  <si>
    <t>SKJ14.1</t>
  </si>
  <si>
    <t>SKJ14.2</t>
  </si>
  <si>
    <t>SKJ15.1</t>
  </si>
  <si>
    <t>SKJ15.2</t>
  </si>
  <si>
    <t>SKJ16.1</t>
  </si>
  <si>
    <t>SKJ16.2</t>
  </si>
  <si>
    <t>SKJ17.1</t>
  </si>
  <si>
    <t>SKJ17.2</t>
  </si>
  <si>
    <t>SKJ_T2</t>
  </si>
  <si>
    <t>SKJ_T2.s</t>
  </si>
  <si>
    <t>SKJ_T2.e</t>
  </si>
  <si>
    <t>SKJ18.1</t>
  </si>
  <si>
    <t>SKJ18.2</t>
  </si>
  <si>
    <t>SKJ19.1</t>
  </si>
  <si>
    <t>SKJ19.2</t>
  </si>
  <si>
    <t>SKJ20.1</t>
  </si>
  <si>
    <t>SKJ20.2</t>
  </si>
  <si>
    <t>SKJ21.1</t>
  </si>
  <si>
    <t>SKJ21.2</t>
  </si>
  <si>
    <t>SKJ22.1</t>
  </si>
  <si>
    <t>SKJ22.2</t>
  </si>
  <si>
    <t>SKJ_T3</t>
  </si>
  <si>
    <t>SKJ_T3.s</t>
  </si>
  <si>
    <t>SKJ_T3.e</t>
  </si>
  <si>
    <t>SKJ23.1</t>
  </si>
  <si>
    <t>SKJ23.2</t>
  </si>
  <si>
    <t>SKJ24.1</t>
  </si>
  <si>
    <t>SKJ24.2</t>
  </si>
  <si>
    <t>SKJ25.1</t>
  </si>
  <si>
    <t>SKJ25.2</t>
  </si>
  <si>
    <t>SKJ26.1</t>
  </si>
  <si>
    <t>SKJ26.2</t>
  </si>
  <si>
    <t>SKJ27.1</t>
  </si>
  <si>
    <t>SKJ27.2</t>
  </si>
  <si>
    <t>SKJ_T4</t>
  </si>
  <si>
    <t>SKJ_T4.s</t>
  </si>
  <si>
    <t>SKJ_T4.e</t>
  </si>
  <si>
    <t>TEN1.1</t>
  </si>
  <si>
    <t>TEN1.2</t>
  </si>
  <si>
    <t>TEN1.3</t>
  </si>
  <si>
    <t>TEN1.4</t>
  </si>
  <si>
    <t>TEN10.1</t>
  </si>
  <si>
    <t>TEN10.2</t>
  </si>
  <si>
    <t>TEN10.3</t>
  </si>
  <si>
    <t>TEN10.4</t>
  </si>
  <si>
    <t>TEN2.1</t>
  </si>
  <si>
    <t>TEN2.2</t>
  </si>
  <si>
    <t>TEN2.3</t>
  </si>
  <si>
    <t>TEN2.4</t>
  </si>
  <si>
    <t>TEN3.1</t>
  </si>
  <si>
    <t>TEN3.2</t>
  </si>
  <si>
    <t>TEN3.3</t>
  </si>
  <si>
    <t>TEN3.4</t>
  </si>
  <si>
    <t>TEN4.1</t>
  </si>
  <si>
    <t>TEN4.2</t>
  </si>
  <si>
    <t>TEN4.3</t>
  </si>
  <si>
    <t>TEN4.4</t>
  </si>
  <si>
    <t>TEN5.1</t>
  </si>
  <si>
    <t>TEN5.2</t>
  </si>
  <si>
    <t>TEN5.3</t>
  </si>
  <si>
    <t>TEN5.4</t>
  </si>
  <si>
    <t>TEN6.1</t>
  </si>
  <si>
    <t>TEN6.2</t>
  </si>
  <si>
    <t>TEN6.3</t>
  </si>
  <si>
    <t>TEN6.4</t>
  </si>
  <si>
    <t>TEN7.1</t>
  </si>
  <si>
    <t>TEN7.2</t>
  </si>
  <si>
    <t>TEN7.3</t>
  </si>
  <si>
    <t>TEN7.4</t>
  </si>
  <si>
    <t>TEN8.1</t>
  </si>
  <si>
    <t>TEN8.2</t>
  </si>
  <si>
    <t>TEN8.3</t>
  </si>
  <si>
    <t>TEN8.4</t>
  </si>
  <si>
    <t>TEN9.1</t>
  </si>
  <si>
    <t>TEN9.2</t>
  </si>
  <si>
    <t>TEN9.3</t>
  </si>
  <si>
    <t>TEN9.4</t>
  </si>
  <si>
    <t>TEN_T1</t>
  </si>
  <si>
    <t>TEN_T1.s</t>
  </si>
  <si>
    <t>TEN_T1.e</t>
  </si>
  <si>
    <t>TEN11.1</t>
  </si>
  <si>
    <t>TEN11.2</t>
  </si>
  <si>
    <t>TEN12.1</t>
  </si>
  <si>
    <t>TEN12.2</t>
  </si>
  <si>
    <t>TEN13.1</t>
  </si>
  <si>
    <t>TEN13.2</t>
  </si>
  <si>
    <t>TEN_T2</t>
  </si>
  <si>
    <t>TEN.T2.s</t>
  </si>
  <si>
    <t>TEN.T2.e</t>
  </si>
  <si>
    <t>TEN14.1</t>
  </si>
  <si>
    <t>TEN14.2</t>
  </si>
  <si>
    <t>TEN15.1</t>
  </si>
  <si>
    <t>TEN15.2</t>
  </si>
  <si>
    <t>FI1.1</t>
  </si>
  <si>
    <t>FI1.2</t>
  </si>
  <si>
    <t>FI10.1</t>
  </si>
  <si>
    <t>FI10.2</t>
  </si>
  <si>
    <t>FI2.1</t>
  </si>
  <si>
    <t>FI2.2</t>
  </si>
  <si>
    <t>FI3.1</t>
  </si>
  <si>
    <t>FI3.2</t>
  </si>
  <si>
    <t>FI4.1</t>
  </si>
  <si>
    <t>FI4.2</t>
  </si>
  <si>
    <t>FI5.1</t>
  </si>
  <si>
    <t>FI5.2</t>
  </si>
  <si>
    <t>FI6.1</t>
  </si>
  <si>
    <t>FI6.2</t>
  </si>
  <si>
    <t>FI7.1</t>
  </si>
  <si>
    <t>FI7.2</t>
  </si>
  <si>
    <t>FI8.1</t>
  </si>
  <si>
    <t>FI8.2</t>
  </si>
  <si>
    <t>FI9.1</t>
  </si>
  <si>
    <t>FI9.2</t>
  </si>
  <si>
    <t>krusfrø</t>
  </si>
  <si>
    <t>hjertegrass</t>
  </si>
  <si>
    <t>bukkebeinurt+krattalant+hjertegras</t>
  </si>
  <si>
    <t>bukkebeinurt+krattalant</t>
  </si>
  <si>
    <t>hjertegras</t>
  </si>
  <si>
    <t>bukkebeinurt+hjertegras</t>
  </si>
  <si>
    <t>Pors+Mjødurt+Myrtistel</t>
  </si>
  <si>
    <t>bukkebeinurt+krattalant+rankfrøstjerne</t>
  </si>
  <si>
    <t>usikker artsbestemmelse på rankfrøstjerne</t>
  </si>
  <si>
    <t>Pors+Mjødurt</t>
  </si>
  <si>
    <t>krusfrø+hjertegras</t>
  </si>
  <si>
    <t>Slåpetorn+Teiebær</t>
  </si>
  <si>
    <t>krattalant+hjertegras</t>
  </si>
  <si>
    <t>Or+Mjødurt</t>
  </si>
  <si>
    <t>krusfrø+bukkebeinurt</t>
  </si>
  <si>
    <t>Einer+Røsslyng</t>
  </si>
  <si>
    <t>Teiebær</t>
  </si>
  <si>
    <t>kystfrøstjerne</t>
  </si>
  <si>
    <t>krattrydding</t>
  </si>
  <si>
    <t>Mjødurt+Salix sp</t>
  </si>
  <si>
    <t>0.5,2.5,3,4,4.5,5,5.5,7,7.5</t>
  </si>
  <si>
    <t>Ruter på 5, 15, 25, 35, og 45 m</t>
  </si>
  <si>
    <t>4.5,5,5.5,9,9.5</t>
  </si>
  <si>
    <t>3,5,5.5,6,6.5,7,7.5,13,13.5</t>
  </si>
  <si>
    <t>0.5,2.5,3,7,26</t>
  </si>
  <si>
    <t>Ruter på 5, 15, 25 (ligger på 24.5m), 35, og 45 m</t>
  </si>
  <si>
    <t>Kortbeitet av kyr, en del tråkk</t>
  </si>
  <si>
    <t>tråkk</t>
  </si>
  <si>
    <t>tusengylden+hjertegras</t>
  </si>
  <si>
    <t>kumøkk 18%</t>
  </si>
  <si>
    <t>kumøkk 6%</t>
  </si>
  <si>
    <t>NB fant ikke metallrør, tatt fra bilder</t>
  </si>
  <si>
    <t>kumøkk 4%</t>
  </si>
  <si>
    <t>11.5, 12, 12.5</t>
  </si>
  <si>
    <t>1,2.5,4.5,5,5.5</t>
  </si>
  <si>
    <t>1.5,2</t>
  </si>
  <si>
    <t>Rett vest for rosebusk. 0-1,5m dekkes av stein og utgår, samme med 2,5 - 4,5 m</t>
  </si>
  <si>
    <t>1m vest for stein. 12-20 m er kort nedbeita vegetasjon.</t>
  </si>
  <si>
    <t>myrtistel</t>
  </si>
  <si>
    <t>mjødurt</t>
  </si>
  <si>
    <t>mjødurt+myrtistel</t>
  </si>
  <si>
    <t>gåsebæsj 1%</t>
  </si>
  <si>
    <t>hjertegras+ormetunge</t>
  </si>
  <si>
    <t>Strandsteinkløver 4%</t>
  </si>
  <si>
    <t>NB strandrødtopp 0.1%</t>
  </si>
  <si>
    <t>NB SKI2 er på 11.5m</t>
  </si>
  <si>
    <t>ME, RR</t>
  </si>
  <si>
    <t>0,2,3,4,5,7</t>
  </si>
  <si>
    <t>4,5,9</t>
  </si>
  <si>
    <t>3,5,6,7,13</t>
  </si>
  <si>
    <t>0,2,3,7,26</t>
  </si>
  <si>
    <t>NE</t>
  </si>
  <si>
    <t>E</t>
  </si>
  <si>
    <t>SE</t>
  </si>
  <si>
    <t>Year</t>
  </si>
  <si>
    <t>Management</t>
  </si>
  <si>
    <t>Teneskjaer</t>
  </si>
  <si>
    <t>Inventor</t>
  </si>
  <si>
    <t>All.years</t>
  </si>
  <si>
    <t>Stro.dekning</t>
  </si>
  <si>
    <t>Slaatt</t>
  </si>
  <si>
    <t>Slaatt_frekvens</t>
  </si>
  <si>
    <t>Rekkefolge</t>
  </si>
  <si>
    <t>Rodliste_art</t>
  </si>
  <si>
    <t>Rodliste_dekn</t>
  </si>
  <si>
    <t>Jorddybde1</t>
  </si>
  <si>
    <t>Jorddybde2</t>
  </si>
  <si>
    <t>Jorddybde</t>
  </si>
  <si>
    <t>strandrødtopp, ormetunge</t>
  </si>
  <si>
    <t>1+1</t>
  </si>
  <si>
    <t>Strandsteinkløver</t>
  </si>
  <si>
    <t>5+6</t>
  </si>
  <si>
    <t>Mjødurt+strandkjeks</t>
  </si>
  <si>
    <t>ormetunge+hjertegras</t>
  </si>
  <si>
    <t>5+1</t>
  </si>
  <si>
    <t>slått</t>
  </si>
  <si>
    <t>1+6+12</t>
  </si>
  <si>
    <t>furu+mjødurt+strandkjeks</t>
  </si>
  <si>
    <t>8+3</t>
  </si>
  <si>
    <t>jordbærkløver</t>
  </si>
  <si>
    <t>2+3</t>
  </si>
  <si>
    <t>mjødurt+furu</t>
  </si>
  <si>
    <t>slått, gåsemøkk</t>
  </si>
  <si>
    <t>9+7</t>
  </si>
  <si>
    <t>6+10</t>
  </si>
  <si>
    <t>5+10</t>
  </si>
  <si>
    <t>12+3</t>
  </si>
  <si>
    <t>3+7</t>
  </si>
  <si>
    <t>11.5, 12, 12.5, 13,13.5</t>
  </si>
  <si>
    <t>6+23</t>
  </si>
  <si>
    <t>Mjødurt+strandkvann</t>
  </si>
  <si>
    <t>8+6</t>
  </si>
  <si>
    <t>klump med fertile rett utenfor ruten</t>
  </si>
  <si>
    <t>18+4+1</t>
  </si>
  <si>
    <t>myrtistel+mjødurt+strandkvann</t>
  </si>
  <si>
    <t>4+5+30</t>
  </si>
  <si>
    <t>55+3+3</t>
  </si>
  <si>
    <t>dverggylden</t>
  </si>
  <si>
    <t>gåsebeita</t>
  </si>
  <si>
    <t>8+1</t>
  </si>
  <si>
    <t>myrtistel+mjødurt</t>
  </si>
  <si>
    <t>knopp beitet</t>
  </si>
  <si>
    <t xml:space="preserve">Den lille hytta mot horisonten på øya tvers over. </t>
  </si>
  <si>
    <t>Fortøyningspinne/benk</t>
  </si>
  <si>
    <t>slåpetorn</t>
  </si>
  <si>
    <t xml:space="preserve">krattalant </t>
  </si>
  <si>
    <t>22+8+4</t>
  </si>
  <si>
    <t>død einer</t>
  </si>
  <si>
    <t>Død einer+gress</t>
  </si>
  <si>
    <t>pors</t>
  </si>
  <si>
    <t>tråkkspor</t>
  </si>
  <si>
    <t>einer</t>
  </si>
  <si>
    <t>hjertegras+kystfrøstjerne</t>
  </si>
  <si>
    <t>3+3</t>
  </si>
  <si>
    <t>7+4</t>
  </si>
  <si>
    <t>mye dødt</t>
  </si>
  <si>
    <t>23+2</t>
  </si>
  <si>
    <t>pors+myrtistel</t>
  </si>
  <si>
    <t>krattalant+hjertegras+bukkebeinurt</t>
  </si>
  <si>
    <t>30+1+4</t>
  </si>
  <si>
    <t>7+5+1</t>
  </si>
  <si>
    <t>svartor+mjødurt+strandkvann</t>
  </si>
  <si>
    <t>krattalant+bukkebeinurt</t>
  </si>
  <si>
    <t>3+2</t>
  </si>
  <si>
    <t>slått i dag</t>
  </si>
  <si>
    <t>3+6</t>
  </si>
  <si>
    <t>50+2</t>
  </si>
  <si>
    <t>pors+mjødurt</t>
  </si>
  <si>
    <t>20+6</t>
  </si>
  <si>
    <t>2+1</t>
  </si>
  <si>
    <t>gulfrøstjerne+bukkebeinurt+krattalant</t>
  </si>
  <si>
    <t>3+2+2</t>
  </si>
  <si>
    <t>hjertegras+bukkebeinurt+krusfrø</t>
  </si>
  <si>
    <t>5+1+0.1</t>
  </si>
  <si>
    <t>18+6+4</t>
  </si>
  <si>
    <t>salix sp.+strandkvann+mjødurt</t>
  </si>
  <si>
    <t>4.5,5,5.5,8,8.5,9,9.5</t>
  </si>
  <si>
    <r>
      <t xml:space="preserve">To sett med parallelle transekter. Sett 1: 50 m lange, dekker ca. 10 m hver i bredde. Sett 2: 40 m lange (37 og 43), dekker ca. 5 m hver i bredde. </t>
    </r>
    <r>
      <rPr>
        <sz val="11"/>
        <color rgb="FFFF0000"/>
        <rFont val="Calibri"/>
        <family val="2"/>
        <scheme val="minor"/>
      </rPr>
      <t>nb registrert honningblom for hver 0,5 x 0,5 m</t>
    </r>
  </si>
  <si>
    <r>
      <t>Tidsbruk: 6 t, men ca. 1.5 av disse gikk til jordprøver. Ingen tegn til beiting i år, og heller ikke jordrotter. Ganske høyvokst og tuete, og mye daudgras. Ikke slått til nå i år.</t>
    </r>
    <r>
      <rPr>
        <sz val="11"/>
        <color rgb="FFFF0000"/>
        <rFont val="Calibri"/>
        <family val="2"/>
        <scheme val="minor"/>
      </rPr>
      <t xml:space="preserve"> nb registrert honningblom for hver 0,5 x 0,5 m</t>
    </r>
  </si>
  <si>
    <r>
      <t xml:space="preserve">Jorddybde: den grønne pinnen går helt ned (jorddybde &gt; 1 m), men i rutene har vi målt jorddybde til første "motstand", som sannsynligvis er skille mellom organisk og skjellsand. </t>
    </r>
    <r>
      <rPr>
        <sz val="11"/>
        <color rgb="FFFF0000"/>
        <rFont val="Calibri"/>
        <family val="2"/>
        <scheme val="minor"/>
      </rPr>
      <t>nb registrert honningblom for hver 0,5 x 0,5 m</t>
    </r>
  </si>
  <si>
    <t>0,0.5,2.5,3,3.5,4,5,6,6.5,13,13.5,14,22.5</t>
  </si>
  <si>
    <t>0,3,3.5,7.5,10.5,26,29,33.5,34,34.5,36</t>
  </si>
  <si>
    <t>Slås to ganger i året. Deler slått en ekstra gang, 5.7.23</t>
  </si>
  <si>
    <t>3+1</t>
  </si>
  <si>
    <t>4+5</t>
  </si>
  <si>
    <t>6+1+.1</t>
  </si>
  <si>
    <t>mjødurt+einer+pors</t>
  </si>
  <si>
    <t>veldig lave blomsterknopper</t>
  </si>
  <si>
    <t>beite</t>
  </si>
  <si>
    <t>strandkjeks</t>
  </si>
  <si>
    <t>1 beitet på</t>
  </si>
  <si>
    <t>hjertegras+tusengylden</t>
  </si>
  <si>
    <t>dødt</t>
  </si>
  <si>
    <t>strandkjeks+kirsebær</t>
  </si>
  <si>
    <t>i tråkk</t>
  </si>
  <si>
    <t>0.1+0.1</t>
  </si>
  <si>
    <t>Column Labels</t>
  </si>
  <si>
    <t>Grand Total</t>
  </si>
  <si>
    <t>Row Labels</t>
  </si>
  <si>
    <t>Sum of Ant.individer</t>
  </si>
  <si>
    <t>Total Sum of Ant.individer</t>
  </si>
  <si>
    <t>Total Average of And.fertile</t>
  </si>
  <si>
    <t>Average of And.fertile</t>
  </si>
  <si>
    <r>
      <t xml:space="preserve">To transekter lagt i vinkel, som dekker hele lokaliteten på langs, variabel bredde, men i snitt 10 m?. Tidsbruk for kun registrering, ikke gå til og fra, eller for å finne ruter. </t>
    </r>
    <r>
      <rPr>
        <sz val="11"/>
        <color rgb="FFFF0000"/>
        <rFont val="Calibri"/>
        <family val="2"/>
        <scheme val="minor"/>
      </rPr>
      <t>nb registrert honningblom for hver 0,5 x 0,5 m</t>
    </r>
  </si>
  <si>
    <t>1, 2, 2.5, 4.5, 5, 5.5, 6.5, 7</t>
  </si>
  <si>
    <t>0, 1, 2.5, 3, 4, 4.5, 5, 6, 6.5, 7, 7.5, 8</t>
  </si>
  <si>
    <t>Forekomst honningblom (0.5m)</t>
  </si>
  <si>
    <t>0,1,2,3,4,5,6,7,8</t>
  </si>
  <si>
    <t>4,5,8,9</t>
  </si>
  <si>
    <t>0,2,3,4,5,6,13,14,22</t>
  </si>
  <si>
    <t>0,3,7,10,26,29,33,34,36</t>
  </si>
  <si>
    <t>ME, RR, TAS</t>
  </si>
  <si>
    <t>Tidsbruk per person, høyere pga full vegetasjonsanalyse</t>
  </si>
  <si>
    <t>11</t>
  </si>
  <si>
    <t>5</t>
  </si>
  <si>
    <t>7, 7.5, 8</t>
  </si>
  <si>
    <t>11.5, 12, 12.5, 13, 13.5</t>
  </si>
  <si>
    <t>1.5, 2.0, 8.0</t>
  </si>
  <si>
    <t>1, 2, 2.5, 3, 3.5, 4, 4.5, 5, 5.5, 7, 7.5</t>
  </si>
  <si>
    <t>0, 1, 2, 3, 4, 5, 6, 7</t>
  </si>
  <si>
    <t>4, 5, 8, 9, 13</t>
  </si>
  <si>
    <t>1, 5, 7, 13, 19, 12, 29, 32</t>
  </si>
  <si>
    <t>0, 2, 3, 5, 6, 7, 13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</si>
</sst>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9" fillId="0" borderId="0"/>
    <xf numFmtId="0" fontId="18" fillId="0" borderId="0"/>
    <xf numFmtId="0" fontId="17" fillId="0" borderId="0"/>
  </cellStyleXfs>
  <cellXfs count="67">
    <xf numFmtId="0" fontId="0" fillId="0" borderId="0" xfId="0"/>
    <xf numFmtId="0" fontId="20" fillId="0" borderId="0" xfId="1" applyFont="1" applyAlignment="1">
      <alignment wrapText="1"/>
    </xf>
    <xf numFmtId="0" fontId="21" fillId="0" borderId="0" xfId="1" applyFont="1"/>
    <xf numFmtId="0" fontId="21" fillId="0" borderId="0" xfId="1" applyFont="1" applyAlignment="1">
      <alignment horizontal="left"/>
    </xf>
    <xf numFmtId="0" fontId="22" fillId="0" borderId="0" xfId="0" applyFont="1"/>
    <xf numFmtId="0" fontId="24" fillId="0" borderId="0" xfId="0" applyFont="1"/>
    <xf numFmtId="0" fontId="23" fillId="0" borderId="0" xfId="0" applyFont="1"/>
    <xf numFmtId="0" fontId="23" fillId="0" borderId="0" xfId="2" applyFont="1"/>
    <xf numFmtId="0" fontId="18" fillId="0" borderId="0" xfId="2"/>
    <xf numFmtId="14" fontId="18" fillId="0" borderId="0" xfId="2" applyNumberFormat="1"/>
    <xf numFmtId="49" fontId="18" fillId="0" borderId="0" xfId="2" applyNumberFormat="1"/>
    <xf numFmtId="0" fontId="18" fillId="0" borderId="0" xfId="2" applyAlignment="1">
      <alignment horizontal="left"/>
    </xf>
    <xf numFmtId="0" fontId="24" fillId="0" borderId="0" xfId="0" applyFont="1" applyAlignment="1">
      <alignment horizontal="left"/>
    </xf>
    <xf numFmtId="0" fontId="24" fillId="0" borderId="0" xfId="3" applyFont="1"/>
    <xf numFmtId="0" fontId="16" fillId="0" borderId="0" xfId="0" applyFont="1"/>
    <xf numFmtId="0" fontId="16" fillId="0" borderId="0" xfId="0" applyFont="1" applyAlignment="1">
      <alignment horizontal="left"/>
    </xf>
    <xf numFmtId="0" fontId="22" fillId="0" borderId="0" xfId="1" applyFont="1"/>
    <xf numFmtId="0" fontId="23" fillId="0" borderId="0" xfId="0" applyFont="1" applyAlignment="1">
      <alignment wrapText="1"/>
    </xf>
    <xf numFmtId="0" fontId="20" fillId="2" borderId="0" xfId="1" applyFont="1" applyFill="1" applyAlignment="1">
      <alignment wrapText="1"/>
    </xf>
    <xf numFmtId="0" fontId="16" fillId="2" borderId="0" xfId="0" applyFont="1" applyFill="1"/>
    <xf numFmtId="0" fontId="24" fillId="2" borderId="0" xfId="0" applyFont="1" applyFill="1"/>
    <xf numFmtId="0" fontId="21" fillId="2" borderId="0" xfId="1" applyFont="1" applyFill="1"/>
    <xf numFmtId="0" fontId="21" fillId="2" borderId="0" xfId="1" applyFont="1" applyFill="1" applyAlignment="1">
      <alignment horizontal="left"/>
    </xf>
    <xf numFmtId="1" fontId="21" fillId="2" borderId="0" xfId="1" applyNumberFormat="1" applyFont="1" applyFill="1"/>
    <xf numFmtId="2" fontId="21" fillId="2" borderId="0" xfId="1" applyNumberFormat="1" applyFont="1" applyFill="1"/>
    <xf numFmtId="1" fontId="21" fillId="0" borderId="0" xfId="1" applyNumberFormat="1" applyFont="1"/>
    <xf numFmtId="0" fontId="23" fillId="2" borderId="0" xfId="0" applyFont="1" applyFill="1"/>
    <xf numFmtId="0" fontId="15" fillId="2" borderId="0" xfId="0" applyFont="1" applyFill="1"/>
    <xf numFmtId="0" fontId="20" fillId="0" borderId="0" xfId="1" applyFont="1" applyAlignment="1">
      <alignment horizontal="left" wrapText="1"/>
    </xf>
    <xf numFmtId="0" fontId="15" fillId="0" borderId="0" xfId="2" applyFont="1"/>
    <xf numFmtId="0" fontId="15" fillId="0" borderId="0" xfId="0" applyFont="1"/>
    <xf numFmtId="14" fontId="15" fillId="0" borderId="0" xfId="2" applyNumberFormat="1" applyFont="1"/>
    <xf numFmtId="14" fontId="15" fillId="0" borderId="0" xfId="0" applyNumberFormat="1" applyFont="1"/>
    <xf numFmtId="0" fontId="15" fillId="0" borderId="0" xfId="2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3" applyFont="1"/>
    <xf numFmtId="0" fontId="15" fillId="0" borderId="0" xfId="0" applyFont="1" applyAlignment="1">
      <alignment vertical="center" wrapText="1"/>
    </xf>
    <xf numFmtId="0" fontId="14" fillId="0" borderId="0" xfId="2" applyFont="1"/>
    <xf numFmtId="0" fontId="13" fillId="2" borderId="0" xfId="0" applyFont="1" applyFill="1"/>
    <xf numFmtId="0" fontId="13" fillId="0" borderId="0" xfId="0" applyFont="1"/>
    <xf numFmtId="0" fontId="12" fillId="2" borderId="0" xfId="0" applyFont="1" applyFill="1"/>
    <xf numFmtId="0" fontId="12" fillId="0" borderId="0" xfId="0" applyFont="1"/>
    <xf numFmtId="14" fontId="16" fillId="0" borderId="0" xfId="0" applyNumberFormat="1" applyFont="1"/>
    <xf numFmtId="0" fontId="12" fillId="0" borderId="0" xfId="2" applyFont="1"/>
    <xf numFmtId="0" fontId="25" fillId="0" borderId="0" xfId="2" applyFont="1"/>
    <xf numFmtId="0" fontId="24" fillId="0" borderId="0" xfId="2" applyFont="1"/>
    <xf numFmtId="0" fontId="11" fillId="0" borderId="0" xfId="2" applyFont="1"/>
    <xf numFmtId="0" fontId="11" fillId="2" borderId="0" xfId="0" applyFont="1" applyFill="1"/>
    <xf numFmtId="0" fontId="11" fillId="0" borderId="0" xfId="0" applyFont="1"/>
    <xf numFmtId="0" fontId="10" fillId="0" borderId="0" xfId="0" applyFont="1"/>
    <xf numFmtId="0" fontId="10" fillId="0" borderId="0" xfId="2" applyFont="1"/>
    <xf numFmtId="0" fontId="9" fillId="0" borderId="0" xfId="2" applyFont="1"/>
    <xf numFmtId="0" fontId="9" fillId="0" borderId="0" xfId="0" applyFont="1"/>
    <xf numFmtId="0" fontId="8" fillId="0" borderId="0" xfId="2" applyFont="1"/>
    <xf numFmtId="0" fontId="7" fillId="0" borderId="0" xfId="0" applyFont="1"/>
    <xf numFmtId="0" fontId="6" fillId="0" borderId="0" xfId="0" applyFont="1"/>
    <xf numFmtId="0" fontId="6" fillId="2" borderId="0" xfId="0" applyFont="1" applyFill="1"/>
    <xf numFmtId="0" fontId="5" fillId="0" borderId="0" xfId="0" applyFont="1"/>
    <xf numFmtId="0" fontId="5" fillId="0" borderId="0" xfId="2" applyFont="1"/>
    <xf numFmtId="0" fontId="5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2" applyFont="1"/>
    <xf numFmtId="0" fontId="3" fillId="0" borderId="0" xfId="2" applyFont="1"/>
    <xf numFmtId="0" fontId="2" fillId="0" borderId="0" xfId="0" applyFont="1"/>
    <xf numFmtId="0" fontId="2" fillId="0" borderId="0" xfId="2" applyFont="1"/>
    <xf numFmtId="0" fontId="1" fillId="0" borderId="0" xfId="2" applyFont="1"/>
  </cellXfs>
  <cellStyles count="4">
    <cellStyle name="Normal" xfId="0" builtinId="0"/>
    <cellStyle name="Normal 2" xfId="1" xr:uid="{E6077FCB-1821-4CD1-8445-9B723D8BBCBC}"/>
    <cellStyle name="Normal 3" xfId="2" xr:uid="{583C522A-7B47-434F-99EE-2F2593DABBB5}"/>
    <cellStyle name="Normal 4" xfId="3" xr:uid="{CEA9C012-B7EA-4CD4-81A0-6D9DBA497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nne Evju" refreshedDate="45113.617703587966" createdVersion="8" refreshedVersion="8" minRefreshableVersion="3" recordCount="491" xr:uid="{A2632C23-17F6-47A2-8F0B-6412CBA25102}">
  <cacheSource type="worksheet">
    <worksheetSource ref="A1:AL492" sheet="Honningblom_data"/>
  </cacheSource>
  <cacheFields count="38">
    <cacheField name="Lokalitet" numFmtId="0">
      <sharedItems count="4">
        <s v="Filletassen"/>
        <s v="Skipstadsand"/>
        <s v="Skjellvik"/>
        <s v="Teneskjaer"/>
      </sharedItems>
    </cacheField>
    <cacheField name="Rute.ID" numFmtId="0">
      <sharedItems containsBlank="1"/>
    </cacheField>
    <cacheField name="Year" numFmtId="0">
      <sharedItems containsSemiMixedTypes="0" containsString="0" containsNumber="1" containsInteger="1" minValue="2014" maxValue="2023" count="10">
        <n v="2020"/>
        <n v="2021"/>
        <n v="2022"/>
        <n v="2023"/>
        <n v="2014"/>
        <n v="2015"/>
        <n v="2016"/>
        <n v="2017"/>
        <n v="2018"/>
        <n v="2019"/>
      </sharedItems>
    </cacheField>
    <cacheField name="All.years" numFmtId="0">
      <sharedItems containsMixedTypes="1" containsNumber="1" containsInteger="1" minValue="0" maxValue="1"/>
    </cacheField>
    <cacheField name="Retn" numFmtId="0">
      <sharedItems containsBlank="1"/>
    </cacheField>
    <cacheField name="Avst" numFmtId="0">
      <sharedItems containsBlank="1" containsMixedTypes="1" containsNumber="1" minValue="0" maxValue="45"/>
    </cacheField>
    <cacheField name="Ant.individer" numFmtId="0">
      <sharedItems containsMixedTypes="1" containsNumber="1" containsInteger="1" minValue="0" maxValue="133"/>
    </cacheField>
    <cacheField name="Ant.fertile" numFmtId="0">
      <sharedItems containsMixedTypes="1" containsNumber="1" containsInteger="1" minValue="0" maxValue="40"/>
    </cacheField>
    <cacheField name="Ant.vegetative" numFmtId="0">
      <sharedItems containsBlank="1" containsMixedTypes="1" containsNumber="1" containsInteger="1" minValue="0" maxValue="120"/>
    </cacheField>
    <cacheField name="And.fertile" numFmtId="0">
      <sharedItems containsMixedTypes="1" containsNumber="1" minValue="0" maxValue="1"/>
    </cacheField>
    <cacheField name="Rutestrl" numFmtId="0">
      <sharedItems containsMixedTypes="1" containsNumber="1" minValue="1.5625E-2" maxValue="0.25"/>
    </cacheField>
    <cacheField name="Ant.pr.0.25m2" numFmtId="0">
      <sharedItems containsMixedTypes="1" containsNumber="1" minValue="0" maxValue="1456"/>
    </cacheField>
    <cacheField name="Veg.hoyde" numFmtId="0">
      <sharedItems containsBlank="1" containsMixedTypes="1" containsNumber="1" minValue="1.375" maxValue="59.5"/>
    </cacheField>
    <cacheField name="Jorddybde" numFmtId="0">
      <sharedItems containsBlank="1" containsMixedTypes="1" containsNumber="1" minValue="4.75" maxValue="38"/>
    </cacheField>
    <cacheField name="Felt.dekning" numFmtId="0">
      <sharedItems containsBlank="1" containsMixedTypes="1" containsNumber="1" containsInteger="1" minValue="3" maxValue="100"/>
    </cacheField>
    <cacheField name="Bunn.dekning" numFmtId="0">
      <sharedItems containsBlank="1" containsMixedTypes="1" containsNumber="1" containsInteger="1" minValue="0" maxValue="90"/>
    </cacheField>
    <cacheField name="Stro.dekning" numFmtId="0">
      <sharedItems containsBlank="1" containsMixedTypes="1" containsNumber="1" minValue="0" maxValue="80"/>
    </cacheField>
    <cacheField name="Gjengroingsart.dekn" numFmtId="0">
      <sharedItems containsBlank="1" containsMixedTypes="1" containsNumber="1" minValue="0" maxValue="75"/>
    </cacheField>
    <cacheField name="Gjengroing.art" numFmtId="0">
      <sharedItems containsBlank="1"/>
    </cacheField>
    <cacheField name="Rodliste_art" numFmtId="0">
      <sharedItems containsBlank="1"/>
    </cacheField>
    <cacheField name="Rodliste_dekn" numFmtId="0">
      <sharedItems containsBlank="1" containsMixedTypes="1" containsNumber="1" minValue="0" maxValue="34"/>
    </cacheField>
    <cacheField name="Komm" numFmtId="0">
      <sharedItems containsBlank="1"/>
    </cacheField>
    <cacheField name="Veg-h1" numFmtId="0">
      <sharedItems containsBlank="1" containsMixedTypes="1" containsNumber="1" containsInteger="1" minValue="2" maxValue="60"/>
    </cacheField>
    <cacheField name="Veg-h2" numFmtId="0">
      <sharedItems containsBlank="1" containsMixedTypes="1" containsNumber="1" containsInteger="1" minValue="0" maxValue="61"/>
    </cacheField>
    <cacheField name="Veg-h3" numFmtId="0">
      <sharedItems containsBlank="1" containsMixedTypes="1" containsNumber="1" containsInteger="1" minValue="0" maxValue="70"/>
    </cacheField>
    <cacheField name="Veg-h4" numFmtId="0">
      <sharedItems containsBlank="1" containsMixedTypes="1" containsNumber="1" containsInteger="1" minValue="0" maxValue="76"/>
    </cacheField>
    <cacheField name="Jorddybde1" numFmtId="0">
      <sharedItems containsBlank="1" containsMixedTypes="1" containsNumber="1" minValue="4" maxValue="38"/>
    </cacheField>
    <cacheField name="Jorddybde2" numFmtId="0">
      <sharedItems containsBlank="1" containsMixedTypes="1" containsNumber="1" minValue="5" maxValue="38"/>
    </cacheField>
    <cacheField name="Lok2" numFmtId="0">
      <sharedItems containsBlank="1"/>
    </cacheField>
    <cacheField name="Rute" numFmtId="0">
      <sharedItems containsBlank="1"/>
    </cacheField>
    <cacheField name="Vekstrate" numFmtId="0">
      <sharedItems containsBlank="1" containsMixedTypes="1" containsNumber="1" minValue="3.4845132743362831E-2" maxValue="16.857142857142858"/>
    </cacheField>
    <cacheField name="Biomasse" numFmtId="0">
      <sharedItems containsBlank="1" containsMixedTypes="1" containsNumber="1" minValue="96" maxValue="2601.3333333333335"/>
    </cacheField>
    <cacheField name="Fuktighet" numFmtId="0">
      <sharedItems containsBlank="1" containsMixedTypes="1" containsNumber="1" minValue="0.45" maxValue="76.674999999999997"/>
    </cacheField>
    <cacheField name="Slaatt" numFmtId="0">
      <sharedItems containsBlank="1" containsMixedTypes="1" containsNumber="1" containsInteger="1" minValue="1" maxValue="1"/>
    </cacheField>
    <cacheField name="Slaatt_frekvens" numFmtId="0">
      <sharedItems containsString="0" containsBlank="1" containsNumber="1" containsInteger="1" minValue="1" maxValue="2"/>
    </cacheField>
    <cacheField name="Beite" numFmtId="0">
      <sharedItems containsString="0" containsBlank="1" containsNumber="1" containsInteger="1" minValue="0" maxValue="1"/>
    </cacheField>
    <cacheField name="Dato" numFmtId="0">
      <sharedItems containsDate="1" containsBlank="1" containsMixedTypes="1" minDate="2019-06-07T00:00:00" maxDate="2023-07-04T00:00:00"/>
    </cacheField>
    <cacheField name="Rekkefolge" numFmtId="0">
      <sharedItems containsBlank="1" containsMixedTypes="1" containsNumber="1" containsInteger="1" minValue="1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1">
  <r>
    <x v="0"/>
    <s v="FI1"/>
    <x v="0"/>
    <n v="1"/>
    <s v="S"/>
    <n v="11.5"/>
    <n v="3"/>
    <n v="1"/>
    <n v="2"/>
    <n v="0.33333333333333331"/>
    <n v="0.25"/>
    <n v="3"/>
    <n v="29"/>
    <m/>
    <n v="90"/>
    <n v="30"/>
    <m/>
    <n v="6"/>
    <s v="Myrtistel"/>
    <m/>
    <m/>
    <m/>
    <m/>
    <m/>
    <m/>
    <m/>
    <m/>
    <m/>
    <m/>
    <s v="FI.01"/>
    <s v="NA"/>
    <s v="NA"/>
    <m/>
    <n v="1"/>
    <n v="1"/>
    <n v="1"/>
    <m/>
    <s v="I kant av sti"/>
  </r>
  <r>
    <x v="0"/>
    <s v="FI10"/>
    <x v="0"/>
    <n v="1"/>
    <s v="NV"/>
    <n v="11"/>
    <n v="0"/>
    <n v="0"/>
    <n v="0"/>
    <s v="NA"/>
    <n v="0.25"/>
    <n v="0"/>
    <n v="5.5"/>
    <m/>
    <n v="80"/>
    <n v="0"/>
    <m/>
    <m/>
    <m/>
    <m/>
    <m/>
    <m/>
    <m/>
    <m/>
    <m/>
    <m/>
    <m/>
    <m/>
    <m/>
    <s v="FI.10"/>
    <s v="NA"/>
    <s v="NA"/>
    <m/>
    <n v="1"/>
    <n v="1"/>
    <n v="1"/>
    <m/>
    <s v="Ingen"/>
  </r>
  <r>
    <x v="0"/>
    <s v="FI2"/>
    <x v="0"/>
    <n v="1"/>
    <s v="S"/>
    <n v="12"/>
    <n v="17"/>
    <n v="4"/>
    <n v="13"/>
    <n v="0.23529411764705882"/>
    <n v="0.25"/>
    <n v="17"/>
    <n v="25.8"/>
    <m/>
    <n v="99"/>
    <n v="70"/>
    <m/>
    <n v="1.5"/>
    <s v="Mjødurt (0,5), myrtistel (1)"/>
    <m/>
    <m/>
    <m/>
    <m/>
    <m/>
    <m/>
    <m/>
    <m/>
    <m/>
    <m/>
    <s v="FI.02"/>
    <s v="NA"/>
    <s v="NA"/>
    <m/>
    <n v="1"/>
    <n v="1"/>
    <n v="1"/>
    <m/>
    <s v="I kant av sti"/>
  </r>
  <r>
    <x v="0"/>
    <s v="FI3"/>
    <x v="0"/>
    <n v="1"/>
    <s v="SV"/>
    <n v="0"/>
    <n v="0"/>
    <n v="0"/>
    <n v="0"/>
    <s v="NA"/>
    <n v="0.25"/>
    <n v="0"/>
    <n v="12.5"/>
    <m/>
    <n v="85"/>
    <n v="0"/>
    <m/>
    <n v="15"/>
    <s v="Mjødurt"/>
    <m/>
    <m/>
    <m/>
    <m/>
    <m/>
    <m/>
    <m/>
    <m/>
    <m/>
    <m/>
    <s v="FI.03"/>
    <s v="NA"/>
    <s v="NA"/>
    <m/>
    <n v="1"/>
    <n v="1"/>
    <n v="1"/>
    <m/>
    <s v="Ingen"/>
  </r>
  <r>
    <x v="0"/>
    <s v="FI4"/>
    <x v="0"/>
    <n v="1"/>
    <s v="SV"/>
    <n v="8"/>
    <n v="1"/>
    <n v="0"/>
    <n v="1"/>
    <n v="0"/>
    <n v="0.25"/>
    <n v="1"/>
    <n v="23.75"/>
    <m/>
    <n v="75"/>
    <n v="80"/>
    <m/>
    <n v="10"/>
    <s v="Mjødurt (9), myrtistel (1)"/>
    <m/>
    <m/>
    <m/>
    <m/>
    <m/>
    <m/>
    <m/>
    <m/>
    <m/>
    <m/>
    <s v="FI.04"/>
    <s v="NA"/>
    <s v="NA"/>
    <m/>
    <n v="1"/>
    <n v="1"/>
    <n v="1"/>
    <m/>
    <s v="Ingen"/>
  </r>
  <r>
    <x v="0"/>
    <s v="FI5"/>
    <x v="0"/>
    <n v="1"/>
    <s v="V"/>
    <n v="2.5"/>
    <n v="11"/>
    <n v="2"/>
    <n v="9"/>
    <n v="0.18181818181818182"/>
    <n v="0.25"/>
    <n v="11"/>
    <n v="12.5"/>
    <m/>
    <n v="75"/>
    <n v="75"/>
    <m/>
    <n v="6"/>
    <s v="Mytistel (5), mjødurt (1)"/>
    <m/>
    <m/>
    <m/>
    <m/>
    <m/>
    <m/>
    <m/>
    <m/>
    <m/>
    <m/>
    <s v="FI.05"/>
    <s v="NA"/>
    <s v="NA"/>
    <m/>
    <n v="1"/>
    <n v="1"/>
    <n v="1"/>
    <m/>
    <s v="I kant av sti, noe jordrottepåvirkning"/>
  </r>
  <r>
    <x v="0"/>
    <s v="FI6"/>
    <x v="0"/>
    <n v="1"/>
    <s v="V"/>
    <n v="5"/>
    <n v="13"/>
    <n v="0"/>
    <n v="13"/>
    <n v="0"/>
    <n v="0.25"/>
    <n v="13"/>
    <n v="26.25"/>
    <m/>
    <n v="65"/>
    <n v="90"/>
    <m/>
    <n v="25"/>
    <s v="Myrtistel"/>
    <m/>
    <m/>
    <m/>
    <m/>
    <m/>
    <m/>
    <m/>
    <m/>
    <m/>
    <m/>
    <s v="FI.06"/>
    <s v="NA"/>
    <s v="NA"/>
    <m/>
    <n v="1"/>
    <n v="1"/>
    <n v="1"/>
    <m/>
    <s v="Ingen"/>
  </r>
  <r>
    <x v="0"/>
    <s v="FI7"/>
    <x v="0"/>
    <n v="1"/>
    <s v="V"/>
    <n v="9.5"/>
    <n v="0"/>
    <n v="0"/>
    <n v="0"/>
    <s v="NA"/>
    <n v="0.25"/>
    <n v="0"/>
    <s v="NA"/>
    <m/>
    <n v="55"/>
    <n v="25"/>
    <m/>
    <n v="7"/>
    <s v="Myrtistel"/>
    <m/>
    <m/>
    <m/>
    <m/>
    <m/>
    <m/>
    <m/>
    <m/>
    <m/>
    <m/>
    <s v="FI.07"/>
    <s v="NA"/>
    <s v="NA"/>
    <m/>
    <n v="1"/>
    <n v="1"/>
    <n v="1"/>
    <m/>
    <s v="Ingen"/>
  </r>
  <r>
    <x v="0"/>
    <s v="FI8"/>
    <x v="0"/>
    <n v="1"/>
    <s v="NV"/>
    <n v="2"/>
    <n v="2"/>
    <n v="2"/>
    <n v="0"/>
    <n v="1"/>
    <n v="0.25"/>
    <n v="2"/>
    <n v="3.75"/>
    <m/>
    <n v="60"/>
    <n v="0"/>
    <m/>
    <m/>
    <m/>
    <m/>
    <m/>
    <m/>
    <m/>
    <m/>
    <m/>
    <m/>
    <m/>
    <m/>
    <m/>
    <s v="FI.08"/>
    <s v="NA"/>
    <s v="NA"/>
    <m/>
    <n v="1"/>
    <n v="1"/>
    <n v="1"/>
    <m/>
    <s v="I stien, mye tråkk"/>
  </r>
  <r>
    <x v="0"/>
    <s v="FI9"/>
    <x v="0"/>
    <n v="1"/>
    <s v="NV"/>
    <n v="2.5"/>
    <n v="0"/>
    <n v="0"/>
    <n v="0"/>
    <s v="NA"/>
    <n v="0.25"/>
    <n v="0"/>
    <n v="4.75"/>
    <m/>
    <n v="65"/>
    <n v="3"/>
    <m/>
    <m/>
    <m/>
    <m/>
    <m/>
    <m/>
    <m/>
    <m/>
    <m/>
    <m/>
    <m/>
    <m/>
    <m/>
    <s v="FI.09"/>
    <s v="NA"/>
    <s v="NA"/>
    <m/>
    <n v="1"/>
    <n v="1"/>
    <n v="1"/>
    <m/>
    <s v="Ingen"/>
  </r>
  <r>
    <x v="0"/>
    <s v="FI1"/>
    <x v="1"/>
    <n v="1"/>
    <s v="S"/>
    <n v="11.5"/>
    <n v="3"/>
    <n v="0"/>
    <n v="3"/>
    <n v="0"/>
    <n v="0.25"/>
    <n v="3"/>
    <n v="13.25"/>
    <m/>
    <n v="90"/>
    <n v="30"/>
    <n v="5"/>
    <n v="5"/>
    <s v="Myrtistel"/>
    <m/>
    <m/>
    <m/>
    <n v="25"/>
    <n v="5"/>
    <n v="8"/>
    <n v="15"/>
    <m/>
    <m/>
    <m/>
    <s v="FI.01"/>
    <s v="NA"/>
    <s v="NA"/>
    <s v="NA"/>
    <n v="1"/>
    <n v="1"/>
    <n v="1"/>
    <d v="2021-07-01T00:00:00"/>
    <m/>
  </r>
  <r>
    <x v="0"/>
    <s v="FI10"/>
    <x v="1"/>
    <n v="1"/>
    <s v="NV"/>
    <n v="11"/>
    <n v="0"/>
    <n v="0"/>
    <n v="0"/>
    <s v="NA"/>
    <n v="0.25"/>
    <n v="0"/>
    <n v="10.25"/>
    <m/>
    <n v="100"/>
    <n v="10"/>
    <n v="1"/>
    <n v="0"/>
    <m/>
    <m/>
    <m/>
    <m/>
    <n v="20"/>
    <n v="8"/>
    <n v="8"/>
    <n v="5"/>
    <m/>
    <m/>
    <m/>
    <s v="FI.10"/>
    <s v="NA"/>
    <s v="NA"/>
    <s v="NA"/>
    <n v="1"/>
    <n v="1"/>
    <n v="1"/>
    <d v="2021-07-01T00:00:00"/>
    <m/>
  </r>
  <r>
    <x v="0"/>
    <s v="FI2"/>
    <x v="1"/>
    <n v="1"/>
    <s v="S"/>
    <n v="12"/>
    <n v="5"/>
    <n v="0"/>
    <n v="5"/>
    <n v="0"/>
    <n v="0.25"/>
    <n v="5"/>
    <n v="21.25"/>
    <m/>
    <n v="90"/>
    <n v="35"/>
    <n v="5"/>
    <n v="2"/>
    <s v="Myrtistel+mjødurt"/>
    <m/>
    <m/>
    <m/>
    <n v="25"/>
    <n v="20"/>
    <n v="30"/>
    <n v="10"/>
    <m/>
    <m/>
    <m/>
    <s v="FI.02"/>
    <s v="NA"/>
    <s v="NA"/>
    <s v="NA"/>
    <n v="1"/>
    <n v="1"/>
    <n v="1"/>
    <d v="2021-07-01T00:00:00"/>
    <m/>
  </r>
  <r>
    <x v="0"/>
    <s v="FI3"/>
    <x v="1"/>
    <n v="1"/>
    <s v="SV"/>
    <n v="0"/>
    <n v="0"/>
    <n v="0"/>
    <n v="0"/>
    <s v="NA"/>
    <n v="0.25"/>
    <n v="0"/>
    <n v="30.5"/>
    <m/>
    <n v="90"/>
    <s v="NA"/>
    <n v="50"/>
    <n v="0"/>
    <m/>
    <m/>
    <m/>
    <m/>
    <n v="37"/>
    <n v="40"/>
    <n v="20"/>
    <n v="25"/>
    <m/>
    <m/>
    <m/>
    <s v="FI.03"/>
    <s v="NA"/>
    <s v="NA"/>
    <s v="NA"/>
    <n v="1"/>
    <n v="1"/>
    <n v="1"/>
    <d v="2021-07-01T00:00:00"/>
    <m/>
  </r>
  <r>
    <x v="0"/>
    <s v="FI4"/>
    <x v="1"/>
    <n v="1"/>
    <s v="SV"/>
    <n v="8"/>
    <n v="0"/>
    <n v="0"/>
    <n v="0"/>
    <s v="NA"/>
    <n v="0.25"/>
    <n v="0"/>
    <n v="31.25"/>
    <m/>
    <n v="75"/>
    <n v="75"/>
    <n v="30"/>
    <n v="10"/>
    <s v="Mjødurt"/>
    <m/>
    <m/>
    <m/>
    <n v="25"/>
    <n v="30"/>
    <n v="30"/>
    <n v="40"/>
    <m/>
    <m/>
    <m/>
    <s v="FI.04"/>
    <s v="NA"/>
    <s v="NA"/>
    <s v="NA"/>
    <n v="1"/>
    <n v="1"/>
    <n v="1"/>
    <d v="2021-07-01T00:00:00"/>
    <m/>
  </r>
  <r>
    <x v="0"/>
    <s v="FI5"/>
    <x v="1"/>
    <n v="1"/>
    <s v="V"/>
    <n v="2.5"/>
    <n v="17"/>
    <n v="2"/>
    <n v="15"/>
    <n v="0.11764705882352941"/>
    <n v="0.25"/>
    <n v="17"/>
    <n v="18.75"/>
    <m/>
    <n v="95"/>
    <n v="10"/>
    <n v="15"/>
    <n v="1"/>
    <s v="Myrtistel"/>
    <m/>
    <m/>
    <m/>
    <n v="28"/>
    <n v="25"/>
    <n v="12"/>
    <n v="10"/>
    <m/>
    <m/>
    <m/>
    <s v="FI.05"/>
    <s v="NA"/>
    <s v="NA"/>
    <s v="NA"/>
    <n v="1"/>
    <n v="1"/>
    <n v="1"/>
    <d v="2021-07-01T00:00:00"/>
    <m/>
  </r>
  <r>
    <x v="0"/>
    <s v="FI6"/>
    <x v="1"/>
    <n v="1"/>
    <s v="V"/>
    <n v="5"/>
    <n v="21"/>
    <n v="4"/>
    <n v="17"/>
    <n v="0.19047619047619047"/>
    <n v="0.25"/>
    <n v="21"/>
    <n v="18.75"/>
    <m/>
    <n v="70"/>
    <n v="70"/>
    <n v="20"/>
    <n v="25"/>
    <s v="Myrtistel"/>
    <m/>
    <m/>
    <m/>
    <n v="15"/>
    <n v="20"/>
    <n v="25"/>
    <n v="15"/>
    <m/>
    <m/>
    <m/>
    <s v="FI.06"/>
    <s v="NA"/>
    <s v="NA"/>
    <s v="NA"/>
    <n v="1"/>
    <n v="1"/>
    <n v="1"/>
    <d v="2021-07-01T00:00:00"/>
    <m/>
  </r>
  <r>
    <x v="0"/>
    <s v="FI7"/>
    <x v="1"/>
    <n v="1"/>
    <s v="V"/>
    <n v="9.5"/>
    <n v="0"/>
    <n v="0"/>
    <n v="0"/>
    <s v="NA"/>
    <n v="0.25"/>
    <n v="0"/>
    <n v="28.75"/>
    <m/>
    <n v="60"/>
    <n v="4"/>
    <n v="25"/>
    <n v="2"/>
    <s v="Myrtistel+mjødurt"/>
    <m/>
    <m/>
    <m/>
    <n v="30"/>
    <n v="25"/>
    <n v="35"/>
    <n v="25"/>
    <m/>
    <m/>
    <m/>
    <s v="FI.07"/>
    <s v="NA"/>
    <s v="NA"/>
    <s v="NA"/>
    <n v="1"/>
    <n v="1"/>
    <n v="1"/>
    <d v="2021-07-01T00:00:00"/>
    <m/>
  </r>
  <r>
    <x v="0"/>
    <s v="FI8"/>
    <x v="1"/>
    <n v="1"/>
    <s v="NV"/>
    <n v="2"/>
    <n v="4"/>
    <n v="0"/>
    <n v="4"/>
    <n v="0"/>
    <n v="0.25"/>
    <n v="4"/>
    <n v="6.75"/>
    <m/>
    <n v="95"/>
    <n v="5"/>
    <n v="5"/>
    <n v="0"/>
    <m/>
    <m/>
    <m/>
    <m/>
    <n v="8"/>
    <n v="10"/>
    <n v="5"/>
    <n v="4"/>
    <m/>
    <m/>
    <m/>
    <s v="FI.08"/>
    <s v="NA"/>
    <s v="NA"/>
    <s v="NA"/>
    <n v="1"/>
    <n v="1"/>
    <n v="1"/>
    <d v="2021-07-01T00:00:00"/>
    <m/>
  </r>
  <r>
    <x v="0"/>
    <s v="FI9"/>
    <x v="1"/>
    <n v="1"/>
    <s v="NV"/>
    <n v="2.5"/>
    <n v="0"/>
    <n v="0"/>
    <n v="0"/>
    <s v="NA"/>
    <n v="0.25"/>
    <n v="0"/>
    <n v="5"/>
    <m/>
    <n v="95"/>
    <n v="10"/>
    <n v="7"/>
    <n v="0"/>
    <m/>
    <m/>
    <m/>
    <m/>
    <n v="7"/>
    <n v="6"/>
    <n v="3"/>
    <n v="4"/>
    <m/>
    <m/>
    <m/>
    <s v="FI.09"/>
    <s v="NA"/>
    <s v="NA"/>
    <s v="NA"/>
    <n v="1"/>
    <n v="1"/>
    <n v="1"/>
    <d v="2021-07-01T00:00:00"/>
    <m/>
  </r>
  <r>
    <x v="0"/>
    <s v="FI1"/>
    <x v="2"/>
    <n v="1"/>
    <s v="S"/>
    <n v="11.5"/>
    <n v="2"/>
    <n v="0"/>
    <n v="2"/>
    <n v="0"/>
    <n v="0.25"/>
    <n v="2"/>
    <n v="10"/>
    <m/>
    <n v="75"/>
    <n v="50"/>
    <n v="3"/>
    <n v="6"/>
    <s v="Myrtistel"/>
    <s v="NA"/>
    <n v="0"/>
    <m/>
    <n v="9"/>
    <n v="7"/>
    <n v="15"/>
    <n v="9"/>
    <m/>
    <m/>
    <m/>
    <m/>
    <m/>
    <s v="NA"/>
    <m/>
    <m/>
    <m/>
    <m/>
    <d v="2022-07-04T00:00:00"/>
    <m/>
  </r>
  <r>
    <x v="0"/>
    <s v="FI10"/>
    <x v="2"/>
    <n v="1"/>
    <s v="NV"/>
    <n v="11"/>
    <n v="0"/>
    <n v="0"/>
    <n v="0"/>
    <s v="NA"/>
    <n v="0.25"/>
    <n v="0"/>
    <n v="15.75"/>
    <m/>
    <n v="99"/>
    <n v="1"/>
    <n v="3"/>
    <n v="0"/>
    <s v="NA"/>
    <s v="NA"/>
    <n v="0"/>
    <m/>
    <n v="23"/>
    <n v="9"/>
    <n v="12"/>
    <n v="19"/>
    <m/>
    <m/>
    <m/>
    <m/>
    <m/>
    <s v="NA"/>
    <m/>
    <s v="gåsebæsj 1%"/>
    <m/>
    <m/>
    <d v="2022-07-04T00:00:00"/>
    <m/>
  </r>
  <r>
    <x v="0"/>
    <s v="FI2"/>
    <x v="2"/>
    <n v="1"/>
    <s v="S"/>
    <n v="12"/>
    <n v="5"/>
    <n v="2"/>
    <n v="3"/>
    <n v="0.4"/>
    <n v="0.25"/>
    <n v="5"/>
    <n v="17.5"/>
    <m/>
    <n v="80"/>
    <n v="45"/>
    <n v="2"/>
    <n v="1"/>
    <s v="Mjødurt"/>
    <s v="NA"/>
    <n v="0"/>
    <m/>
    <n v="16"/>
    <n v="15"/>
    <n v="11"/>
    <n v="28"/>
    <m/>
    <m/>
    <m/>
    <m/>
    <m/>
    <s v="NA"/>
    <m/>
    <m/>
    <m/>
    <m/>
    <d v="2022-07-04T00:00:00"/>
    <m/>
  </r>
  <r>
    <x v="0"/>
    <s v="FI3"/>
    <x v="2"/>
    <n v="1"/>
    <s v="SV"/>
    <n v="0"/>
    <n v="0"/>
    <n v="0"/>
    <n v="0"/>
    <s v="NA"/>
    <n v="0.25"/>
    <n v="0"/>
    <n v="28.75"/>
    <m/>
    <n v="100"/>
    <n v="1"/>
    <n v="5"/>
    <n v="5"/>
    <s v="Mjødurt"/>
    <s v="NA"/>
    <n v="0"/>
    <m/>
    <n v="27"/>
    <n v="29"/>
    <n v="21"/>
    <n v="38"/>
    <m/>
    <m/>
    <m/>
    <m/>
    <m/>
    <s v="NA"/>
    <m/>
    <m/>
    <m/>
    <m/>
    <d v="2022-07-04T00:00:00"/>
    <m/>
  </r>
  <r>
    <x v="0"/>
    <s v="FI4"/>
    <x v="2"/>
    <n v="1"/>
    <s v="SV"/>
    <n v="8"/>
    <n v="0"/>
    <n v="0"/>
    <n v="0"/>
    <s v="NA"/>
    <n v="0.25"/>
    <n v="0"/>
    <n v="30"/>
    <m/>
    <n v="70"/>
    <n v="65"/>
    <n v="12"/>
    <n v="8"/>
    <s v="Mjødurt"/>
    <s v="NA"/>
    <n v="0"/>
    <m/>
    <n v="36"/>
    <n v="34"/>
    <n v="18"/>
    <n v="32"/>
    <m/>
    <m/>
    <m/>
    <m/>
    <m/>
    <s v="NA"/>
    <m/>
    <m/>
    <m/>
    <m/>
    <d v="2022-07-04T00:00:00"/>
    <m/>
  </r>
  <r>
    <x v="0"/>
    <s v="FI5"/>
    <x v="2"/>
    <n v="1"/>
    <s v="V"/>
    <n v="2.5"/>
    <n v="17"/>
    <n v="0"/>
    <n v="17"/>
    <n v="0"/>
    <n v="0.25"/>
    <n v="17"/>
    <n v="9.5"/>
    <m/>
    <n v="90"/>
    <n v="2"/>
    <n v="6"/>
    <n v="6"/>
    <s v="mjødurt+myrtistel"/>
    <s v="NA"/>
    <n v="0"/>
    <m/>
    <n v="4"/>
    <n v="6"/>
    <n v="13"/>
    <n v="15"/>
    <m/>
    <m/>
    <m/>
    <m/>
    <m/>
    <s v="NA"/>
    <m/>
    <m/>
    <m/>
    <m/>
    <d v="2022-07-04T00:00:00"/>
    <m/>
  </r>
  <r>
    <x v="0"/>
    <s v="FI6"/>
    <x v="2"/>
    <n v="1"/>
    <s v="V"/>
    <n v="5"/>
    <n v="22"/>
    <n v="3"/>
    <n v="19"/>
    <n v="0.13636363636363635"/>
    <n v="0.25"/>
    <n v="22"/>
    <n v="30"/>
    <m/>
    <n v="85"/>
    <n v="10"/>
    <n v="3"/>
    <n v="42"/>
    <s v="mjødurt+myrtistel"/>
    <s v="NA"/>
    <n v="0"/>
    <m/>
    <n v="25"/>
    <n v="34"/>
    <n v="28"/>
    <n v="33"/>
    <m/>
    <m/>
    <m/>
    <m/>
    <m/>
    <s v="NA"/>
    <m/>
    <m/>
    <m/>
    <m/>
    <d v="2022-07-04T00:00:00"/>
    <m/>
  </r>
  <r>
    <x v="0"/>
    <s v="FI7"/>
    <x v="2"/>
    <n v="1"/>
    <s v="V"/>
    <n v="9.5"/>
    <n v="0"/>
    <n v="0"/>
    <n v="0"/>
    <s v="NA"/>
    <n v="0.25"/>
    <n v="0"/>
    <n v="23"/>
    <m/>
    <n v="70"/>
    <n v="40"/>
    <n v="8"/>
    <n v="10"/>
    <s v="mjødurt+myrtistel"/>
    <s v="NA"/>
    <n v="0"/>
    <m/>
    <n v="28"/>
    <n v="17"/>
    <n v="15"/>
    <n v="32"/>
    <m/>
    <m/>
    <m/>
    <m/>
    <m/>
    <s v="NA"/>
    <m/>
    <m/>
    <m/>
    <m/>
    <d v="2022-07-04T00:00:00"/>
    <m/>
  </r>
  <r>
    <x v="0"/>
    <s v="FI8"/>
    <x v="2"/>
    <n v="1"/>
    <s v="NV"/>
    <n v="2"/>
    <n v="6"/>
    <n v="0"/>
    <n v="6"/>
    <n v="0"/>
    <n v="0.25"/>
    <n v="6"/>
    <n v="10.25"/>
    <m/>
    <n v="99"/>
    <n v="5"/>
    <n v="3"/>
    <n v="0.1"/>
    <s v="Myrtistel"/>
    <s v="NA"/>
    <n v="0"/>
    <m/>
    <n v="15"/>
    <n v="9"/>
    <n v="11"/>
    <n v="6"/>
    <m/>
    <m/>
    <m/>
    <m/>
    <m/>
    <s v="NA"/>
    <m/>
    <m/>
    <m/>
    <m/>
    <d v="2022-07-04T00:00:00"/>
    <m/>
  </r>
  <r>
    <x v="0"/>
    <s v="FI9"/>
    <x v="2"/>
    <n v="1"/>
    <s v="NV"/>
    <n v="2.5"/>
    <n v="0"/>
    <n v="0"/>
    <n v="0"/>
    <s v="NA"/>
    <n v="0.25"/>
    <n v="0"/>
    <n v="8.5"/>
    <m/>
    <n v="98"/>
    <n v="3"/>
    <n v="3"/>
    <n v="0"/>
    <s v="NA"/>
    <s v="NA"/>
    <n v="0"/>
    <m/>
    <n v="9"/>
    <n v="6"/>
    <n v="12"/>
    <n v="7"/>
    <m/>
    <m/>
    <m/>
    <m/>
    <m/>
    <s v="NA"/>
    <m/>
    <m/>
    <m/>
    <m/>
    <d v="2022-07-04T00:00:00"/>
    <m/>
  </r>
  <r>
    <x v="0"/>
    <s v="FI1"/>
    <x v="3"/>
    <n v="1"/>
    <s v="S"/>
    <n v="11.5"/>
    <n v="1"/>
    <n v="0"/>
    <n v="1"/>
    <n v="0"/>
    <n v="0.25"/>
    <n v="1"/>
    <n v="42.75"/>
    <n v="29.5"/>
    <n v="100"/>
    <n v="25"/>
    <n v="10"/>
    <s v="8+1"/>
    <s v="Myrtistel+mjødurt"/>
    <s v="NA"/>
    <n v="0"/>
    <m/>
    <n v="41"/>
    <n v="43"/>
    <n v="43"/>
    <n v="44"/>
    <n v="29"/>
    <n v="30"/>
    <m/>
    <m/>
    <m/>
    <s v="NA"/>
    <m/>
    <m/>
    <m/>
    <m/>
    <d v="2022-07-04T00:00:00"/>
    <m/>
  </r>
  <r>
    <x v="0"/>
    <s v="FI10"/>
    <x v="3"/>
    <n v="1"/>
    <s v="NV"/>
    <n v="11"/>
    <n v="0"/>
    <n v="0"/>
    <n v="0"/>
    <s v="NA"/>
    <n v="0.25"/>
    <n v="0"/>
    <n v="14.25"/>
    <n v="16.5"/>
    <n v="95"/>
    <n v="0"/>
    <n v="8"/>
    <n v="0"/>
    <s v="NA"/>
    <s v="dverggylden"/>
    <n v="1"/>
    <s v="gåsebeita"/>
    <n v="8"/>
    <n v="9"/>
    <n v="21"/>
    <n v="19"/>
    <n v="14.5"/>
    <n v="18.5"/>
    <m/>
    <m/>
    <m/>
    <s v="NA"/>
    <m/>
    <s v="gåsebæsj 1%"/>
    <m/>
    <m/>
    <d v="2022-07-04T00:00:00"/>
    <m/>
  </r>
  <r>
    <x v="0"/>
    <s v="FI2"/>
    <x v="3"/>
    <n v="1"/>
    <s v="S"/>
    <n v="12"/>
    <n v="12"/>
    <n v="1"/>
    <n v="11"/>
    <n v="8.3333333333333329E-2"/>
    <n v="0.25"/>
    <n v="12"/>
    <n v="53.75"/>
    <n v="20.5"/>
    <n v="100"/>
    <n v="15"/>
    <n v="10"/>
    <n v="8"/>
    <s v="Mjødurt"/>
    <s v="NA"/>
    <n v="0"/>
    <s v="knopp beitet"/>
    <n v="46"/>
    <n v="61"/>
    <n v="42"/>
    <n v="66"/>
    <n v="25"/>
    <n v="16"/>
    <m/>
    <m/>
    <m/>
    <s v="NA"/>
    <m/>
    <m/>
    <m/>
    <m/>
    <d v="2022-07-04T00:00:00"/>
    <m/>
  </r>
  <r>
    <x v="0"/>
    <s v="FI3"/>
    <x v="3"/>
    <n v="1"/>
    <s v="SV"/>
    <n v="0"/>
    <n v="0"/>
    <n v="0"/>
    <n v="0"/>
    <s v="NA"/>
    <n v="0.25"/>
    <n v="0"/>
    <n v="35.75"/>
    <n v="20.75"/>
    <n v="100"/>
    <n v="0"/>
    <n v="13"/>
    <s v="6+23"/>
    <s v="Myrtistel+mjødurt"/>
    <s v="NA"/>
    <n v="0"/>
    <m/>
    <n v="60"/>
    <n v="38"/>
    <n v="21"/>
    <n v="24"/>
    <n v="19"/>
    <n v="22.5"/>
    <m/>
    <m/>
    <m/>
    <s v="NA"/>
    <m/>
    <m/>
    <m/>
    <m/>
    <d v="2022-07-04T00:00:00"/>
    <m/>
  </r>
  <r>
    <x v="0"/>
    <s v="FI4"/>
    <x v="3"/>
    <n v="1"/>
    <s v="SV"/>
    <n v="8"/>
    <n v="0"/>
    <n v="0"/>
    <n v="0"/>
    <s v="NA"/>
    <n v="0.25"/>
    <n v="0"/>
    <n v="43"/>
    <n v="25.75"/>
    <n v="98"/>
    <n v="3"/>
    <n v="17"/>
    <s v="8+6"/>
    <s v="Mjødurt+strandkvann"/>
    <s v="NA"/>
    <n v="0"/>
    <s v="klump med fertile rett utenfor ruten"/>
    <n v="55"/>
    <n v="20"/>
    <n v="43"/>
    <n v="54"/>
    <n v="22.5"/>
    <n v="29"/>
    <m/>
    <m/>
    <m/>
    <s v="NA"/>
    <m/>
    <m/>
    <m/>
    <m/>
    <d v="2022-07-04T00:00:00"/>
    <m/>
  </r>
  <r>
    <x v="0"/>
    <s v="FI5"/>
    <x v="3"/>
    <n v="1"/>
    <s v="V"/>
    <n v="2.5"/>
    <n v="13"/>
    <n v="1"/>
    <n v="12"/>
    <n v="7.6923076923076927E-2"/>
    <n v="0.25"/>
    <n v="13"/>
    <n v="36.5"/>
    <n v="27"/>
    <n v="99"/>
    <n v="3"/>
    <n v="4"/>
    <s v="18+4+1"/>
    <s v="myrtistel+mjødurt+strandkvann"/>
    <s v="NA"/>
    <n v="0"/>
    <m/>
    <n v="17"/>
    <n v="44"/>
    <n v="34"/>
    <n v="51"/>
    <n v="16"/>
    <n v="38"/>
    <m/>
    <m/>
    <m/>
    <s v="NA"/>
    <m/>
    <m/>
    <m/>
    <m/>
    <d v="2022-07-04T00:00:00"/>
    <m/>
  </r>
  <r>
    <x v="0"/>
    <s v="FI6"/>
    <x v="3"/>
    <n v="1"/>
    <s v="V"/>
    <n v="5"/>
    <n v="23"/>
    <n v="4"/>
    <n v="19"/>
    <n v="0.17391304347826086"/>
    <n v="0.25"/>
    <n v="23"/>
    <n v="57"/>
    <n v="20"/>
    <n v="100"/>
    <n v="1"/>
    <n v="15"/>
    <s v="55+3+3"/>
    <s v="myrtistel+mjødurt+strandkvann"/>
    <s v="NA"/>
    <n v="0"/>
    <m/>
    <n v="47"/>
    <n v="46"/>
    <n v="70"/>
    <n v="65"/>
    <n v="20.5"/>
    <n v="19.5"/>
    <m/>
    <m/>
    <m/>
    <s v="NA"/>
    <m/>
    <m/>
    <m/>
    <m/>
    <d v="2022-07-04T00:00:00"/>
    <m/>
  </r>
  <r>
    <x v="0"/>
    <s v="FI7"/>
    <x v="3"/>
    <n v="1"/>
    <s v="V"/>
    <n v="9.5"/>
    <n v="0"/>
    <n v="0"/>
    <n v="0"/>
    <s v="NA"/>
    <n v="0.25"/>
    <n v="0"/>
    <n v="54"/>
    <n v="29.5"/>
    <n v="100"/>
    <n v="0"/>
    <n v="60"/>
    <s v="4+5+30"/>
    <s v="myrtistel+mjødurt+strandkvann"/>
    <s v="NA"/>
    <n v="0"/>
    <m/>
    <n v="53"/>
    <n v="44"/>
    <n v="63"/>
    <n v="56"/>
    <n v="21"/>
    <n v="38"/>
    <m/>
    <m/>
    <m/>
    <s v="NA"/>
    <m/>
    <m/>
    <m/>
    <m/>
    <d v="2022-07-04T00:00:00"/>
    <m/>
  </r>
  <r>
    <x v="0"/>
    <s v="FI8"/>
    <x v="3"/>
    <n v="1"/>
    <s v="NV"/>
    <n v="2"/>
    <n v="7"/>
    <n v="2"/>
    <n v="5"/>
    <n v="0.2857142857142857"/>
    <n v="0.25"/>
    <n v="7"/>
    <n v="12.5"/>
    <n v="18.5"/>
    <n v="99"/>
    <n v="3"/>
    <n v="4"/>
    <n v="3"/>
    <s v="Myrtistel"/>
    <s v="hjertegras"/>
    <n v="2"/>
    <m/>
    <n v="6"/>
    <n v="9"/>
    <n v="23"/>
    <n v="12"/>
    <n v="13.5"/>
    <n v="23.5"/>
    <m/>
    <m/>
    <m/>
    <s v="NA"/>
    <m/>
    <m/>
    <m/>
    <m/>
    <d v="2022-07-04T00:00:00"/>
    <m/>
  </r>
  <r>
    <x v="0"/>
    <s v="FI9"/>
    <x v="3"/>
    <n v="1"/>
    <s v="NV"/>
    <n v="2.5"/>
    <n v="0"/>
    <n v="0"/>
    <n v="0"/>
    <s v="NA"/>
    <n v="0.25"/>
    <n v="0"/>
    <n v="8"/>
    <n v="14.75"/>
    <n v="95"/>
    <n v="1"/>
    <n v="6"/>
    <n v="0"/>
    <s v="NA"/>
    <s v="hjertegras"/>
    <n v="2"/>
    <m/>
    <n v="3"/>
    <n v="8"/>
    <n v="9"/>
    <n v="12"/>
    <n v="22"/>
    <n v="7.5"/>
    <m/>
    <m/>
    <m/>
    <s v="NA"/>
    <m/>
    <m/>
    <m/>
    <m/>
    <d v="2022-07-04T00:00:00"/>
    <m/>
  </r>
  <r>
    <x v="1"/>
    <s v="SKI1"/>
    <x v="4"/>
    <n v="1"/>
    <s v="NA"/>
    <s v="NA"/>
    <n v="11"/>
    <n v="4"/>
    <n v="7"/>
    <n v="0.36363636363636365"/>
    <n v="0.25"/>
    <n v="11"/>
    <n v="10"/>
    <m/>
    <n v="100"/>
    <m/>
    <m/>
    <m/>
    <m/>
    <m/>
    <m/>
    <m/>
    <m/>
    <m/>
    <m/>
    <m/>
    <m/>
    <m/>
    <m/>
    <s v="SKI.1.A"/>
    <n v="1"/>
    <n v="1371.1818181818182"/>
    <n v="37.9"/>
    <n v="1"/>
    <n v="2"/>
    <n v="0"/>
    <m/>
    <m/>
  </r>
  <r>
    <x v="1"/>
    <s v="SKI2"/>
    <x v="4"/>
    <n v="1"/>
    <s v="NA"/>
    <s v="NA"/>
    <n v="23"/>
    <n v="5"/>
    <n v="18"/>
    <n v="0.21739130434782608"/>
    <n v="0.140625"/>
    <n v="40.888888888888886"/>
    <n v="7"/>
    <m/>
    <n v="60"/>
    <m/>
    <m/>
    <m/>
    <m/>
    <m/>
    <m/>
    <m/>
    <m/>
    <m/>
    <m/>
    <m/>
    <m/>
    <m/>
    <m/>
    <s v="SKI.2.A"/>
    <n v="0.60869565217391308"/>
    <n v="986.26086956521738"/>
    <n v="26.1"/>
    <n v="1"/>
    <n v="2"/>
    <n v="0"/>
    <m/>
    <m/>
  </r>
  <r>
    <x v="1"/>
    <s v="SKI3"/>
    <x v="4"/>
    <n v="1"/>
    <s v="NA"/>
    <s v="NA"/>
    <n v="44"/>
    <n v="25"/>
    <n v="19"/>
    <n v="0.56818181818181823"/>
    <n v="0.140625"/>
    <n v="78.222222222222229"/>
    <n v="8"/>
    <m/>
    <n v="70"/>
    <m/>
    <m/>
    <m/>
    <m/>
    <m/>
    <m/>
    <m/>
    <m/>
    <m/>
    <m/>
    <m/>
    <m/>
    <m/>
    <m/>
    <s v="SKI.3.A"/>
    <n v="1.7954545454545454"/>
    <n v="543.13636363636363"/>
    <n v="28.5"/>
    <n v="1"/>
    <n v="2"/>
    <n v="0"/>
    <m/>
    <m/>
  </r>
  <r>
    <x v="1"/>
    <s v="SKI4"/>
    <x v="4"/>
    <n v="1"/>
    <s v="NA"/>
    <s v="NA"/>
    <n v="20"/>
    <n v="8"/>
    <n v="12"/>
    <n v="0.4"/>
    <n v="0.25"/>
    <n v="20"/>
    <n v="14"/>
    <m/>
    <n v="100"/>
    <m/>
    <m/>
    <m/>
    <m/>
    <m/>
    <m/>
    <m/>
    <m/>
    <m/>
    <m/>
    <m/>
    <m/>
    <m/>
    <m/>
    <s v="SKI.4.A"/>
    <n v="1.55"/>
    <n v="1066.4000000000001"/>
    <n v="36.5"/>
    <n v="1"/>
    <n v="2"/>
    <n v="0"/>
    <m/>
    <m/>
  </r>
  <r>
    <x v="1"/>
    <s v="SKI6"/>
    <x v="4"/>
    <n v="1"/>
    <s v="NA"/>
    <s v="NA"/>
    <n v="40"/>
    <n v="3"/>
    <n v="37"/>
    <n v="7.4999999999999997E-2"/>
    <n v="0.140625"/>
    <n v="71.111111111111114"/>
    <n v="13"/>
    <m/>
    <n v="100"/>
    <m/>
    <m/>
    <m/>
    <m/>
    <m/>
    <m/>
    <m/>
    <m/>
    <m/>
    <m/>
    <m/>
    <m/>
    <m/>
    <m/>
    <s v="SKI.6.A"/>
    <n v="1.4249999999999998"/>
    <n v="507.95"/>
    <n v="34.9"/>
    <n v="1"/>
    <n v="2"/>
    <n v="0"/>
    <m/>
    <m/>
  </r>
  <r>
    <x v="1"/>
    <s v="SKI7"/>
    <x v="4"/>
    <n v="1"/>
    <s v="NA"/>
    <s v="NA"/>
    <n v="1"/>
    <n v="0"/>
    <n v="1"/>
    <n v="0"/>
    <n v="0.25"/>
    <n v="1"/>
    <n v="10"/>
    <m/>
    <n v="100"/>
    <m/>
    <m/>
    <m/>
    <m/>
    <m/>
    <m/>
    <m/>
    <m/>
    <m/>
    <m/>
    <m/>
    <m/>
    <m/>
    <m/>
    <s v="SKI.7.A"/>
    <n v="3"/>
    <n v="900"/>
    <n v="37"/>
    <n v="1"/>
    <n v="2"/>
    <n v="0"/>
    <m/>
    <m/>
  </r>
  <r>
    <x v="1"/>
    <s v="SKI8"/>
    <x v="4"/>
    <n v="1"/>
    <s v="NA"/>
    <s v="NA"/>
    <n v="5"/>
    <n v="1"/>
    <n v="4"/>
    <n v="0.2"/>
    <n v="0.25"/>
    <n v="5"/>
    <n v="8"/>
    <m/>
    <n v="90"/>
    <m/>
    <m/>
    <m/>
    <m/>
    <m/>
    <m/>
    <m/>
    <m/>
    <m/>
    <m/>
    <m/>
    <m/>
    <m/>
    <m/>
    <s v="SKI.8.A"/>
    <n v="2.2000000000000002"/>
    <n v="1895"/>
    <n v="28.3"/>
    <n v="1"/>
    <n v="2"/>
    <n v="0"/>
    <m/>
    <m/>
  </r>
  <r>
    <x v="1"/>
    <s v="SKI9"/>
    <x v="4"/>
    <n v="1"/>
    <s v="NA"/>
    <s v="NA"/>
    <n v="61"/>
    <n v="18"/>
    <n v="43"/>
    <n v="0.29508196721311475"/>
    <n v="0.140625"/>
    <n v="108.44444444444444"/>
    <n v="11"/>
    <m/>
    <n v="95"/>
    <m/>
    <m/>
    <m/>
    <m/>
    <m/>
    <m/>
    <m/>
    <m/>
    <m/>
    <m/>
    <m/>
    <m/>
    <m/>
    <m/>
    <s v="SKI.9.A"/>
    <n v="1.6557377049180326"/>
    <n v="685.08196721311481"/>
    <n v="27.5"/>
    <n v="1"/>
    <n v="2"/>
    <n v="0"/>
    <m/>
    <m/>
  </r>
  <r>
    <x v="1"/>
    <m/>
    <x v="4"/>
    <s v="NA"/>
    <s v="NA"/>
    <s v="NA"/>
    <n v="34"/>
    <n v="13"/>
    <n v="21"/>
    <n v="0.38235294117647056"/>
    <n v="0.140625"/>
    <n v="60.444444444444443"/>
    <n v="16"/>
    <m/>
    <n v="90"/>
    <m/>
    <m/>
    <m/>
    <m/>
    <m/>
    <m/>
    <m/>
    <m/>
    <m/>
    <m/>
    <m/>
    <m/>
    <m/>
    <m/>
    <s v="SKI.10.A"/>
    <n v="2.2647058823529411"/>
    <n v="922.05882352941171"/>
    <n v="14.6"/>
    <n v="1"/>
    <n v="2"/>
    <n v="0"/>
    <m/>
    <m/>
  </r>
  <r>
    <x v="1"/>
    <m/>
    <x v="4"/>
    <s v="NA"/>
    <s v="NA"/>
    <s v="NA"/>
    <n v="21"/>
    <n v="6"/>
    <n v="15"/>
    <n v="0.2857142857142857"/>
    <n v="6.25E-2"/>
    <n v="84"/>
    <n v="12"/>
    <m/>
    <n v="100"/>
    <m/>
    <m/>
    <m/>
    <m/>
    <m/>
    <m/>
    <m/>
    <m/>
    <m/>
    <m/>
    <m/>
    <m/>
    <m/>
    <m/>
    <s v="SKI.5.A"/>
    <n v="1.9047619047619047"/>
    <n v="995.04761904761904"/>
    <n v="34.799999999999997"/>
    <n v="1"/>
    <n v="2"/>
    <n v="0"/>
    <m/>
    <m/>
  </r>
  <r>
    <x v="1"/>
    <s v="SKI1"/>
    <x v="5"/>
    <n v="1"/>
    <s v="NA"/>
    <s v="NA"/>
    <n v="11"/>
    <n v="5"/>
    <n v="6"/>
    <n v="0.45454545454545453"/>
    <n v="0.25"/>
    <n v="11"/>
    <s v="NA"/>
    <m/>
    <s v="NA"/>
    <m/>
    <m/>
    <m/>
    <m/>
    <m/>
    <m/>
    <m/>
    <m/>
    <m/>
    <m/>
    <m/>
    <m/>
    <m/>
    <m/>
    <s v="SKI.1.A"/>
    <n v="1.7272727272727273"/>
    <n v="1477.5454545454545"/>
    <s v="NA"/>
    <n v="1"/>
    <n v="2"/>
    <n v="0"/>
    <m/>
    <m/>
  </r>
  <r>
    <x v="1"/>
    <s v="SKI2"/>
    <x v="5"/>
    <n v="1"/>
    <s v="NA"/>
    <s v="NA"/>
    <n v="14"/>
    <n v="1"/>
    <n v="13"/>
    <n v="7.1428571428571425E-2"/>
    <n v="0.140625"/>
    <n v="24.888888888888889"/>
    <s v="NA"/>
    <m/>
    <s v="NA"/>
    <m/>
    <m/>
    <m/>
    <m/>
    <m/>
    <m/>
    <m/>
    <m/>
    <m/>
    <m/>
    <m/>
    <m/>
    <m/>
    <m/>
    <s v="SKI.2.A"/>
    <n v="0.5714285714285714"/>
    <n v="695.78571428571433"/>
    <s v="NA"/>
    <n v="1"/>
    <n v="2"/>
    <n v="0"/>
    <m/>
    <m/>
  </r>
  <r>
    <x v="1"/>
    <s v="SKI3"/>
    <x v="5"/>
    <n v="1"/>
    <s v="NA"/>
    <s v="NA"/>
    <n v="79"/>
    <n v="12"/>
    <n v="67"/>
    <n v="0.15189873417721519"/>
    <n v="0.140625"/>
    <n v="140.44444444444446"/>
    <s v="NA"/>
    <m/>
    <s v="NA"/>
    <m/>
    <m/>
    <m/>
    <m/>
    <m/>
    <m/>
    <m/>
    <m/>
    <m/>
    <m/>
    <m/>
    <m/>
    <m/>
    <m/>
    <s v="SKI.3.A"/>
    <n v="0.92405063291139222"/>
    <n v="663.43037974683546"/>
    <s v="NA"/>
    <n v="1"/>
    <n v="2"/>
    <n v="0"/>
    <m/>
    <m/>
  </r>
  <r>
    <x v="1"/>
    <s v="SKI4"/>
    <x v="5"/>
    <n v="1"/>
    <s v="NA"/>
    <s v="NA"/>
    <n v="31"/>
    <n v="19"/>
    <n v="12"/>
    <n v="0.61290322580645162"/>
    <n v="0.25"/>
    <n v="31"/>
    <s v="NA"/>
    <m/>
    <s v="NA"/>
    <m/>
    <m/>
    <m/>
    <m/>
    <m/>
    <m/>
    <m/>
    <m/>
    <m/>
    <m/>
    <m/>
    <m/>
    <m/>
    <m/>
    <s v="SKI.4.A"/>
    <n v="1.064516129032258"/>
    <n v="1269.8387096774193"/>
    <s v="NA"/>
    <n v="1"/>
    <n v="2"/>
    <n v="0"/>
    <m/>
    <m/>
  </r>
  <r>
    <x v="1"/>
    <s v="SKI6"/>
    <x v="5"/>
    <n v="1"/>
    <s v="NA"/>
    <s v="NA"/>
    <n v="57"/>
    <n v="5"/>
    <n v="52"/>
    <n v="8.771929824561403E-2"/>
    <n v="0.140625"/>
    <n v="101.33333333333333"/>
    <s v="NA"/>
    <m/>
    <s v="NA"/>
    <m/>
    <m/>
    <m/>
    <m/>
    <m/>
    <m/>
    <m/>
    <m/>
    <m/>
    <m/>
    <m/>
    <m/>
    <m/>
    <m/>
    <s v="SKI.6.A"/>
    <n v="0.94736842105263164"/>
    <n v="669.08771929824559"/>
    <s v="NA"/>
    <n v="1"/>
    <n v="2"/>
    <n v="0"/>
    <m/>
    <m/>
  </r>
  <r>
    <x v="1"/>
    <s v="SKI7"/>
    <x v="5"/>
    <n v="1"/>
    <s v="NA"/>
    <s v="NA"/>
    <n v="3"/>
    <n v="1"/>
    <n v="2"/>
    <n v="0.33333333333333331"/>
    <n v="0.25"/>
    <n v="3"/>
    <s v="NA"/>
    <m/>
    <s v="NA"/>
    <m/>
    <m/>
    <m/>
    <m/>
    <m/>
    <m/>
    <m/>
    <m/>
    <m/>
    <m/>
    <m/>
    <m/>
    <m/>
    <m/>
    <s v="SKI.7.A"/>
    <n v="1.3333333333333333"/>
    <n v="554.66666666666663"/>
    <s v="NA"/>
    <n v="1"/>
    <n v="2"/>
    <n v="0"/>
    <m/>
    <m/>
  </r>
  <r>
    <x v="1"/>
    <s v="SKI8"/>
    <x v="5"/>
    <n v="1"/>
    <s v="NA"/>
    <s v="NA"/>
    <n v="11"/>
    <n v="3"/>
    <n v="8"/>
    <n v="0.27272727272727271"/>
    <n v="0.25"/>
    <n v="11"/>
    <s v="NA"/>
    <m/>
    <s v="NA"/>
    <m/>
    <m/>
    <m/>
    <m/>
    <m/>
    <m/>
    <m/>
    <m/>
    <m/>
    <m/>
    <m/>
    <m/>
    <m/>
    <m/>
    <s v="SKI.8.A"/>
    <n v="0.54545454545454541"/>
    <n v="1484.1818181818182"/>
    <s v="NA"/>
    <n v="1"/>
    <n v="2"/>
    <n v="0"/>
    <m/>
    <m/>
  </r>
  <r>
    <x v="1"/>
    <s v="SKI9"/>
    <x v="5"/>
    <n v="1"/>
    <s v="NA"/>
    <s v="NA"/>
    <n v="101"/>
    <n v="8"/>
    <n v="93"/>
    <n v="7.9207920792079209E-2"/>
    <n v="0.140625"/>
    <n v="179.55555555555554"/>
    <s v="NA"/>
    <m/>
    <s v="NA"/>
    <m/>
    <m/>
    <m/>
    <m/>
    <m/>
    <m/>
    <m/>
    <m/>
    <m/>
    <m/>
    <m/>
    <m/>
    <m/>
    <m/>
    <s v="SKI.9.A"/>
    <n v="0.69306930693069313"/>
    <n v="905.75247524752479"/>
    <s v="NA"/>
    <n v="1"/>
    <n v="2"/>
    <n v="0"/>
    <m/>
    <m/>
  </r>
  <r>
    <x v="1"/>
    <m/>
    <x v="5"/>
    <s v="NA"/>
    <s v="NA"/>
    <s v="NA"/>
    <n v="77"/>
    <n v="12"/>
    <n v="65"/>
    <n v="0.15584415584415584"/>
    <n v="0.140625"/>
    <n v="136.88888888888889"/>
    <s v="NA"/>
    <m/>
    <s v="NA"/>
    <m/>
    <m/>
    <m/>
    <m/>
    <m/>
    <m/>
    <m/>
    <m/>
    <m/>
    <m/>
    <m/>
    <m/>
    <m/>
    <m/>
    <s v="SKI.10.A"/>
    <n v="0.77922077922077926"/>
    <n v="759.28571428571433"/>
    <s v="NA"/>
    <n v="1"/>
    <n v="2"/>
    <n v="0"/>
    <m/>
    <m/>
  </r>
  <r>
    <x v="1"/>
    <m/>
    <x v="5"/>
    <s v="NA"/>
    <s v="NA"/>
    <s v="NA"/>
    <n v="40"/>
    <n v="17"/>
    <n v="23"/>
    <n v="0.42499999999999999"/>
    <n v="6.25E-2"/>
    <n v="160"/>
    <s v="NA"/>
    <m/>
    <s v="NA"/>
    <m/>
    <m/>
    <m/>
    <m/>
    <m/>
    <m/>
    <m/>
    <m/>
    <m/>
    <m/>
    <m/>
    <m/>
    <m/>
    <m/>
    <s v="SKI.5.A"/>
    <n v="0.72499999999999998"/>
    <n v="1143.8"/>
    <s v="NA"/>
    <n v="1"/>
    <n v="2"/>
    <n v="0"/>
    <m/>
    <m/>
  </r>
  <r>
    <x v="1"/>
    <s v="SKI1"/>
    <x v="6"/>
    <n v="1"/>
    <s v="NA"/>
    <s v="NA"/>
    <n v="19"/>
    <n v="4"/>
    <n v="15"/>
    <n v="0.21052631578947367"/>
    <n v="0.25"/>
    <n v="19"/>
    <n v="8.75"/>
    <m/>
    <n v="100"/>
    <m/>
    <m/>
    <m/>
    <m/>
    <m/>
    <m/>
    <m/>
    <m/>
    <m/>
    <m/>
    <m/>
    <m/>
    <m/>
    <m/>
    <s v="SKI.1.A"/>
    <n v="0.21052631578947367"/>
    <n v="1723.2105260000001"/>
    <n v="49.3"/>
    <n v="1"/>
    <n v="2"/>
    <n v="0"/>
    <m/>
    <m/>
  </r>
  <r>
    <x v="1"/>
    <s v="SKI2"/>
    <x v="6"/>
    <n v="1"/>
    <s v="NA"/>
    <s v="NA"/>
    <n v="8"/>
    <n v="1"/>
    <n v="7"/>
    <n v="0.125"/>
    <n v="0.140625"/>
    <n v="14.222222222222221"/>
    <n v="6.75"/>
    <m/>
    <n v="60"/>
    <m/>
    <m/>
    <m/>
    <m/>
    <m/>
    <m/>
    <m/>
    <m/>
    <m/>
    <m/>
    <m/>
    <m/>
    <m/>
    <m/>
    <s v="SKI.2.A"/>
    <n v="0.125"/>
    <n v="799.125"/>
    <n v="32.299999999999997"/>
    <n v="1"/>
    <n v="2"/>
    <n v="0"/>
    <m/>
    <m/>
  </r>
  <r>
    <x v="1"/>
    <s v="SKI3"/>
    <x v="6"/>
    <n v="1"/>
    <s v="NA"/>
    <s v="NA"/>
    <n v="73"/>
    <n v="18"/>
    <n v="55"/>
    <n v="0.24657534246575341"/>
    <n v="0.140625"/>
    <n v="129.77777777777777"/>
    <n v="6.5"/>
    <m/>
    <n v="100"/>
    <m/>
    <m/>
    <m/>
    <m/>
    <m/>
    <m/>
    <m/>
    <m/>
    <m/>
    <m/>
    <m/>
    <m/>
    <m/>
    <m/>
    <s v="SKI.3.A"/>
    <n v="1.0958904109589043"/>
    <n v="815.35599999999999"/>
    <n v="37.825000000000003"/>
    <n v="1"/>
    <n v="2"/>
    <n v="0"/>
    <m/>
    <m/>
  </r>
  <r>
    <x v="1"/>
    <s v="SKI4"/>
    <x v="6"/>
    <n v="1"/>
    <s v="NA"/>
    <s v="NA"/>
    <n v="33"/>
    <n v="21"/>
    <n v="12"/>
    <n v="0.63636363636363635"/>
    <n v="0.25"/>
    <n v="33"/>
    <n v="6"/>
    <m/>
    <n v="90"/>
    <m/>
    <m/>
    <m/>
    <m/>
    <m/>
    <m/>
    <m/>
    <m/>
    <m/>
    <m/>
    <m/>
    <m/>
    <m/>
    <m/>
    <s v="SKI.4.A"/>
    <n v="0.93939393939393945"/>
    <n v="1355.364"/>
    <n v="44.325000000000003"/>
    <n v="1"/>
    <n v="2"/>
    <n v="0"/>
    <m/>
    <m/>
  </r>
  <r>
    <x v="1"/>
    <s v="SKI6"/>
    <x v="6"/>
    <n v="1"/>
    <s v="NA"/>
    <s v="NA"/>
    <n v="54"/>
    <n v="7"/>
    <n v="47"/>
    <n v="0.12962962962962962"/>
    <n v="0.140625"/>
    <n v="96"/>
    <n v="7.375"/>
    <m/>
    <n v="90"/>
    <m/>
    <m/>
    <m/>
    <m/>
    <m/>
    <m/>
    <m/>
    <m/>
    <m/>
    <m/>
    <m/>
    <m/>
    <m/>
    <m/>
    <s v="SKI.6.A"/>
    <n v="1.2962962962962963"/>
    <n v="771.31479999999999"/>
    <n v="44.024999999999999"/>
    <n v="1"/>
    <n v="2"/>
    <n v="0"/>
    <m/>
    <m/>
  </r>
  <r>
    <x v="1"/>
    <s v="SKI7"/>
    <x v="6"/>
    <n v="1"/>
    <s v="NA"/>
    <s v="NA"/>
    <n v="4"/>
    <n v="2"/>
    <n v="2"/>
    <n v="0.5"/>
    <n v="0.25"/>
    <n v="4"/>
    <n v="8.5"/>
    <m/>
    <n v="95"/>
    <m/>
    <m/>
    <m/>
    <m/>
    <m/>
    <m/>
    <m/>
    <m/>
    <m/>
    <m/>
    <m/>
    <m/>
    <m/>
    <m/>
    <s v="SKI.7.A"/>
    <n v="2.5"/>
    <n v="1486.25"/>
    <n v="37.049999999999997"/>
    <n v="1"/>
    <n v="2"/>
    <n v="0"/>
    <m/>
    <m/>
  </r>
  <r>
    <x v="1"/>
    <s v="SKI8"/>
    <x v="6"/>
    <n v="1"/>
    <s v="NA"/>
    <s v="NA"/>
    <n v="6"/>
    <n v="1"/>
    <n v="5"/>
    <n v="0.16666666666666666"/>
    <n v="0.25"/>
    <n v="6"/>
    <n v="7.5"/>
    <m/>
    <n v="80"/>
    <m/>
    <m/>
    <m/>
    <m/>
    <m/>
    <m/>
    <m/>
    <m/>
    <m/>
    <m/>
    <m/>
    <m/>
    <m/>
    <m/>
    <s v="SKI.8.A"/>
    <n v="1.8333333333333333"/>
    <n v="752.66669999999999"/>
    <n v="44.5"/>
    <n v="1"/>
    <n v="2"/>
    <n v="0"/>
    <m/>
    <m/>
  </r>
  <r>
    <x v="1"/>
    <s v="SKI9"/>
    <x v="6"/>
    <n v="1"/>
    <s v="NA"/>
    <s v="NA"/>
    <n v="70"/>
    <n v="18"/>
    <n v="52"/>
    <n v="0.25714285714285712"/>
    <n v="0.140625"/>
    <n v="124.44444444444444"/>
    <n v="7.5"/>
    <m/>
    <n v="100"/>
    <m/>
    <m/>
    <m/>
    <m/>
    <m/>
    <m/>
    <m/>
    <m/>
    <m/>
    <m/>
    <m/>
    <m/>
    <m/>
    <m/>
    <s v="SKI.9.A"/>
    <n v="1.6142857142857143"/>
    <n v="898.95709999999997"/>
    <n v="36.875"/>
    <n v="1"/>
    <n v="2"/>
    <n v="0"/>
    <m/>
    <m/>
  </r>
  <r>
    <x v="1"/>
    <m/>
    <x v="6"/>
    <s v="NA"/>
    <s v="NA"/>
    <s v="NA"/>
    <n v="60"/>
    <n v="6"/>
    <n v="54"/>
    <n v="0.1"/>
    <n v="0.140625"/>
    <n v="106.66666666666667"/>
    <n v="8.25"/>
    <m/>
    <n v="95"/>
    <m/>
    <m/>
    <m/>
    <m/>
    <m/>
    <m/>
    <m/>
    <m/>
    <m/>
    <m/>
    <m/>
    <m/>
    <m/>
    <m/>
    <s v="SKI.10.A"/>
    <n v="1.3333333333333333"/>
    <n v="791"/>
    <n v="39.85"/>
    <n v="1"/>
    <n v="2"/>
    <n v="0"/>
    <m/>
    <m/>
  </r>
  <r>
    <x v="1"/>
    <m/>
    <x v="6"/>
    <s v="NA"/>
    <s v="NA"/>
    <s v="NA"/>
    <n v="29"/>
    <n v="4"/>
    <n v="25"/>
    <n v="0.13793103448275862"/>
    <n v="6.25E-2"/>
    <n v="116"/>
    <n v="8.75"/>
    <m/>
    <n v="80"/>
    <m/>
    <m/>
    <m/>
    <m/>
    <m/>
    <m/>
    <m/>
    <m/>
    <m/>
    <m/>
    <m/>
    <m/>
    <m/>
    <m/>
    <s v="SKI.5.A"/>
    <n v="1.2413793103448276"/>
    <n v="929.96550000000002"/>
    <n v="48.5"/>
    <n v="1"/>
    <n v="2"/>
    <n v="0"/>
    <m/>
    <m/>
  </r>
  <r>
    <x v="1"/>
    <s v="SKI1"/>
    <x v="7"/>
    <n v="1"/>
    <s v="NA"/>
    <s v="NA"/>
    <n v="4"/>
    <n v="0"/>
    <n v="4"/>
    <n v="0"/>
    <n v="0.25"/>
    <n v="4"/>
    <n v="6"/>
    <m/>
    <n v="95"/>
    <m/>
    <m/>
    <m/>
    <m/>
    <m/>
    <m/>
    <m/>
    <m/>
    <m/>
    <m/>
    <m/>
    <m/>
    <m/>
    <m/>
    <s v="SKI.1.A"/>
    <n v="0.5"/>
    <n v="1141"/>
    <n v="45.125"/>
    <n v="1"/>
    <n v="2"/>
    <n v="0"/>
    <m/>
    <m/>
  </r>
  <r>
    <x v="1"/>
    <s v="SKI2"/>
    <x v="7"/>
    <n v="1"/>
    <s v="NA"/>
    <s v="NA"/>
    <n v="1"/>
    <n v="0"/>
    <n v="1"/>
    <n v="0"/>
    <n v="0.140625"/>
    <n v="1.7777777777777777"/>
    <n v="3.75"/>
    <m/>
    <n v="75"/>
    <m/>
    <m/>
    <m/>
    <m/>
    <m/>
    <m/>
    <m/>
    <m/>
    <m/>
    <m/>
    <m/>
    <m/>
    <m/>
    <m/>
    <s v="SKI.2.A"/>
    <n v="1.125"/>
    <n v="704"/>
    <n v="28.675000000000001"/>
    <n v="1"/>
    <n v="2"/>
    <n v="0"/>
    <m/>
    <m/>
  </r>
  <r>
    <x v="1"/>
    <s v="SKI3"/>
    <x v="7"/>
    <n v="1"/>
    <s v="NA"/>
    <s v="NA"/>
    <n v="80"/>
    <n v="13"/>
    <n v="67"/>
    <n v="0.16250000000000001"/>
    <n v="0.140625"/>
    <n v="142.22222222222223"/>
    <n v="10"/>
    <m/>
    <n v="100"/>
    <m/>
    <m/>
    <m/>
    <m/>
    <m/>
    <m/>
    <m/>
    <m/>
    <m/>
    <m/>
    <m/>
    <m/>
    <m/>
    <m/>
    <s v="SKI.3.A"/>
    <n v="0.17578125"/>
    <n v="982.54430379746839"/>
    <n v="35.35"/>
    <n v="1"/>
    <n v="2"/>
    <n v="0"/>
    <m/>
    <m/>
  </r>
  <r>
    <x v="1"/>
    <s v="SKI4"/>
    <x v="7"/>
    <n v="1"/>
    <s v="NA"/>
    <s v="NA"/>
    <n v="31"/>
    <n v="7"/>
    <n v="24"/>
    <n v="0.22580645161290322"/>
    <n v="0.25"/>
    <n v="31"/>
    <n v="8.875"/>
    <m/>
    <n v="95"/>
    <m/>
    <m/>
    <m/>
    <m/>
    <m/>
    <m/>
    <m/>
    <m/>
    <m/>
    <m/>
    <m/>
    <m/>
    <m/>
    <m/>
    <s v="SKI.4.A"/>
    <n v="1.064516129032258"/>
    <n v="969.9677419354839"/>
    <n v="39.25"/>
    <n v="1"/>
    <n v="2"/>
    <n v="0"/>
    <m/>
    <m/>
  </r>
  <r>
    <x v="1"/>
    <s v="SKI6"/>
    <x v="7"/>
    <n v="1"/>
    <s v="NA"/>
    <s v="NA"/>
    <n v="70"/>
    <n v="8"/>
    <n v="62"/>
    <n v="0.11428571428571428"/>
    <n v="0.140625"/>
    <n v="124.44444444444444"/>
    <n v="3.75"/>
    <m/>
    <n v="70"/>
    <m/>
    <m/>
    <m/>
    <m/>
    <m/>
    <m/>
    <m/>
    <m/>
    <m/>
    <m/>
    <m/>
    <m/>
    <m/>
    <m/>
    <s v="SKI.6.A"/>
    <n v="0.62678571428571428"/>
    <n v="533.25714285714287"/>
    <n v="43.6"/>
    <n v="1"/>
    <n v="2"/>
    <n v="0"/>
    <m/>
    <m/>
  </r>
  <r>
    <x v="1"/>
    <s v="SKI7"/>
    <x v="7"/>
    <n v="1"/>
    <s v="NA"/>
    <s v="NA"/>
    <n v="10"/>
    <n v="2"/>
    <n v="8"/>
    <n v="0.2"/>
    <n v="0.25"/>
    <n v="10"/>
    <n v="3.75"/>
    <m/>
    <n v="70"/>
    <m/>
    <m/>
    <m/>
    <m/>
    <m/>
    <m/>
    <m/>
    <m/>
    <m/>
    <m/>
    <m/>
    <m/>
    <m/>
    <m/>
    <s v="SKI.7.A"/>
    <n v="0.2"/>
    <n v="828.3"/>
    <n v="39.225000000000001"/>
    <n v="1"/>
    <n v="2"/>
    <n v="0"/>
    <m/>
    <m/>
  </r>
  <r>
    <x v="1"/>
    <s v="SKI8"/>
    <x v="7"/>
    <n v="1"/>
    <s v="NA"/>
    <s v="NA"/>
    <n v="11"/>
    <n v="0"/>
    <n v="11"/>
    <n v="0"/>
    <n v="0.25"/>
    <n v="11"/>
    <n v="7.5"/>
    <m/>
    <n v="80"/>
    <m/>
    <m/>
    <m/>
    <m/>
    <m/>
    <m/>
    <m/>
    <m/>
    <m/>
    <m/>
    <m/>
    <m/>
    <m/>
    <m/>
    <s v="SKI.8.A"/>
    <n v="0.63636363636363635"/>
    <n v="724"/>
    <n v="38.375"/>
    <n v="1"/>
    <n v="2"/>
    <n v="0"/>
    <m/>
    <m/>
  </r>
  <r>
    <x v="1"/>
    <s v="SKI9"/>
    <x v="7"/>
    <n v="1"/>
    <s v="NA"/>
    <s v="NA"/>
    <n v="113"/>
    <n v="24"/>
    <n v="89"/>
    <n v="0.21238938053097345"/>
    <n v="0.140625"/>
    <n v="200.88888888888889"/>
    <n v="7.875"/>
    <m/>
    <n v="95"/>
    <m/>
    <m/>
    <m/>
    <m/>
    <m/>
    <m/>
    <m/>
    <m/>
    <m/>
    <m/>
    <m/>
    <m/>
    <m/>
    <m/>
    <s v="SKI.9.A"/>
    <n v="3.4845132743362831E-2"/>
    <n v="890.47321428571433"/>
    <n v="26.4"/>
    <n v="1"/>
    <n v="2"/>
    <n v="0"/>
    <m/>
    <m/>
  </r>
  <r>
    <x v="1"/>
    <m/>
    <x v="7"/>
    <s v="NA"/>
    <s v="NA"/>
    <s v="NA"/>
    <n v="80"/>
    <n v="10"/>
    <n v="70"/>
    <n v="0.125"/>
    <n v="0.140625"/>
    <n v="142.22222222222223"/>
    <n v="9.5"/>
    <m/>
    <n v="95"/>
    <m/>
    <m/>
    <m/>
    <m/>
    <m/>
    <m/>
    <m/>
    <m/>
    <m/>
    <m/>
    <m/>
    <m/>
    <m/>
    <m/>
    <s v="SKI.10.A"/>
    <n v="0.5625"/>
    <n v="569.20000000000005"/>
    <n v="35.625"/>
    <n v="1"/>
    <n v="2"/>
    <n v="0"/>
    <m/>
    <m/>
  </r>
  <r>
    <x v="1"/>
    <m/>
    <x v="7"/>
    <s v="NA"/>
    <s v="NA"/>
    <s v="NA"/>
    <n v="36"/>
    <n v="1"/>
    <n v="35"/>
    <n v="2.7777777777777776E-2"/>
    <n v="6.25E-2"/>
    <n v="144"/>
    <n v="7.25"/>
    <m/>
    <n v="100"/>
    <m/>
    <m/>
    <m/>
    <m/>
    <m/>
    <m/>
    <m/>
    <m/>
    <m/>
    <m/>
    <m/>
    <m/>
    <m/>
    <m/>
    <s v="SKI.5.A"/>
    <n v="0.3611111111111111"/>
    <n v="912.63888888888891"/>
    <n v="40.450000000000003"/>
    <n v="1"/>
    <n v="2"/>
    <n v="0"/>
    <m/>
    <m/>
  </r>
  <r>
    <x v="1"/>
    <s v="SKI1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I.1.A"/>
    <s v="NA"/>
    <s v="NA"/>
    <s v="NA"/>
    <n v="1"/>
    <n v="2"/>
    <n v="0"/>
    <m/>
    <m/>
  </r>
  <r>
    <x v="1"/>
    <s v="SKI2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I.2.A"/>
    <s v="NA"/>
    <s v="NA"/>
    <s v="NA"/>
    <n v="1"/>
    <n v="2"/>
    <n v="0"/>
    <m/>
    <m/>
  </r>
  <r>
    <x v="1"/>
    <s v="SKI3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I.3.A"/>
    <s v="NA"/>
    <s v="NA"/>
    <s v="NA"/>
    <n v="1"/>
    <n v="2"/>
    <n v="0"/>
    <m/>
    <m/>
  </r>
  <r>
    <x v="1"/>
    <s v="SKI4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I.4.A"/>
    <s v="NA"/>
    <s v="NA"/>
    <s v="NA"/>
    <n v="1"/>
    <n v="2"/>
    <n v="0"/>
    <m/>
    <m/>
  </r>
  <r>
    <x v="1"/>
    <s v="SKI6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I.6.A"/>
    <s v="NA"/>
    <s v="NA"/>
    <s v="NA"/>
    <n v="1"/>
    <n v="2"/>
    <n v="0"/>
    <m/>
    <m/>
  </r>
  <r>
    <x v="1"/>
    <s v="SKI7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I.7.A"/>
    <s v="NA"/>
    <s v="NA"/>
    <s v="NA"/>
    <n v="1"/>
    <n v="2"/>
    <n v="0"/>
    <m/>
    <m/>
  </r>
  <r>
    <x v="1"/>
    <s v="SKI8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I.8.A"/>
    <s v="NA"/>
    <s v="NA"/>
    <s v="NA"/>
    <n v="1"/>
    <n v="2"/>
    <n v="0"/>
    <m/>
    <m/>
  </r>
  <r>
    <x v="1"/>
    <s v="SKI9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I.9.A"/>
    <s v="NA"/>
    <s v="NA"/>
    <s v="NA"/>
    <n v="1"/>
    <n v="2"/>
    <n v="0"/>
    <m/>
    <m/>
  </r>
  <r>
    <x v="1"/>
    <m/>
    <x v="8"/>
    <s v="NA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I.10.A"/>
    <s v="NA"/>
    <s v="NA"/>
    <s v="NA"/>
    <n v="1"/>
    <n v="2"/>
    <n v="0"/>
    <m/>
    <m/>
  </r>
  <r>
    <x v="1"/>
    <m/>
    <x v="8"/>
    <s v="NA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I.5.A"/>
    <s v="NA"/>
    <s v="NA"/>
    <s v="NA"/>
    <n v="1"/>
    <n v="2"/>
    <n v="0"/>
    <m/>
    <m/>
  </r>
  <r>
    <x v="1"/>
    <s v="SKI1"/>
    <x v="9"/>
    <n v="1"/>
    <s v="NA"/>
    <s v="NA"/>
    <n v="2"/>
    <n v="1"/>
    <n v="1"/>
    <n v="0.5"/>
    <n v="0.25"/>
    <n v="2"/>
    <n v="14"/>
    <m/>
    <n v="45"/>
    <n v="4"/>
    <m/>
    <m/>
    <m/>
    <m/>
    <m/>
    <m/>
    <m/>
    <m/>
    <m/>
    <m/>
    <m/>
    <m/>
    <m/>
    <s v="SKI.1.A"/>
    <n v="2.5"/>
    <s v="NA"/>
    <s v="NA"/>
    <n v="1"/>
    <n v="2"/>
    <n v="0"/>
    <d v="2019-06-26T00:00:00"/>
    <n v="8"/>
  </r>
  <r>
    <x v="1"/>
    <s v="SKI2"/>
    <x v="9"/>
    <n v="1"/>
    <s v="NA"/>
    <s v="NA"/>
    <n v="2"/>
    <n v="0"/>
    <n v="2"/>
    <n v="0"/>
    <n v="0.25"/>
    <n v="2"/>
    <n v="13.5"/>
    <m/>
    <n v="75"/>
    <n v="0"/>
    <m/>
    <m/>
    <m/>
    <m/>
    <m/>
    <m/>
    <m/>
    <m/>
    <m/>
    <m/>
    <m/>
    <m/>
    <m/>
    <s v="SKI.2.A"/>
    <n v="3"/>
    <s v="NA"/>
    <s v="NA"/>
    <n v="1"/>
    <n v="2"/>
    <n v="0"/>
    <d v="2019-06-26T00:00:00"/>
    <n v="10"/>
  </r>
  <r>
    <x v="1"/>
    <s v="SKI3"/>
    <x v="9"/>
    <n v="1"/>
    <s v="NA"/>
    <s v="NA"/>
    <n v="25"/>
    <n v="8"/>
    <n v="17"/>
    <n v="0.32"/>
    <n v="0.25"/>
    <n v="25"/>
    <n v="12"/>
    <m/>
    <n v="85"/>
    <n v="2"/>
    <m/>
    <m/>
    <m/>
    <m/>
    <m/>
    <m/>
    <m/>
    <m/>
    <m/>
    <m/>
    <m/>
    <m/>
    <m/>
    <s v="SKI.3.A"/>
    <n v="0.72"/>
    <s v="NA"/>
    <s v="NA"/>
    <n v="1"/>
    <n v="2"/>
    <n v="0"/>
    <d v="2019-06-26T00:00:00"/>
    <n v="7"/>
  </r>
  <r>
    <x v="1"/>
    <s v="SKI4"/>
    <x v="9"/>
    <n v="1"/>
    <s v="NA"/>
    <s v="NA"/>
    <n v="33"/>
    <n v="11"/>
    <n v="22"/>
    <n v="0.33333333333333331"/>
    <n v="0.25"/>
    <n v="33"/>
    <n v="7.75"/>
    <m/>
    <n v="70"/>
    <n v="10"/>
    <m/>
    <m/>
    <m/>
    <m/>
    <m/>
    <m/>
    <m/>
    <m/>
    <m/>
    <m/>
    <m/>
    <m/>
    <m/>
    <s v="SKI.4.A"/>
    <n v="0.12121212121212122"/>
    <s v="NA"/>
    <s v="NA"/>
    <n v="1"/>
    <n v="2"/>
    <n v="0"/>
    <d v="2019-06-26T00:00:00"/>
    <n v="3"/>
  </r>
  <r>
    <x v="1"/>
    <s v="SKI6"/>
    <x v="9"/>
    <n v="1"/>
    <s v="NA"/>
    <s v="NA"/>
    <n v="78"/>
    <n v="5"/>
    <n v="73"/>
    <n v="6.4102564102564097E-2"/>
    <n v="0.25"/>
    <n v="78"/>
    <n v="10"/>
    <m/>
    <n v="75"/>
    <n v="5"/>
    <m/>
    <m/>
    <m/>
    <m/>
    <m/>
    <m/>
    <m/>
    <m/>
    <m/>
    <m/>
    <m/>
    <m/>
    <m/>
    <s v="SKI.6.A"/>
    <n v="0.82051282051282048"/>
    <s v="NA"/>
    <s v="NA"/>
    <n v="1"/>
    <n v="2"/>
    <n v="0"/>
    <d v="2019-06-26T00:00:00"/>
    <n v="4"/>
  </r>
  <r>
    <x v="1"/>
    <s v="SKI7"/>
    <x v="9"/>
    <n v="1"/>
    <s v="NA"/>
    <s v="NA"/>
    <n v="2"/>
    <n v="0"/>
    <n v="2"/>
    <n v="0"/>
    <n v="0.25"/>
    <n v="2"/>
    <n v="10.5"/>
    <m/>
    <n v="70"/>
    <n v="2"/>
    <m/>
    <m/>
    <m/>
    <m/>
    <m/>
    <m/>
    <m/>
    <m/>
    <m/>
    <m/>
    <m/>
    <m/>
    <m/>
    <s v="SKI.7.A"/>
    <n v="2"/>
    <s v="NA"/>
    <s v="NA"/>
    <n v="1"/>
    <n v="2"/>
    <n v="0"/>
    <d v="2019-06-26T00:00:00"/>
    <n v="1"/>
  </r>
  <r>
    <x v="1"/>
    <s v="SKI8"/>
    <x v="9"/>
    <n v="1"/>
    <s v="NA"/>
    <s v="NA"/>
    <n v="7"/>
    <n v="1"/>
    <n v="6"/>
    <n v="0.14285714285714285"/>
    <n v="0.25"/>
    <n v="7"/>
    <n v="14.25"/>
    <m/>
    <n v="45"/>
    <n v="2"/>
    <m/>
    <m/>
    <m/>
    <m/>
    <m/>
    <m/>
    <m/>
    <m/>
    <m/>
    <m/>
    <m/>
    <m/>
    <m/>
    <s v="SKI.8.A"/>
    <n v="1.4285714285714286"/>
    <s v="NA"/>
    <s v="NA"/>
    <n v="1"/>
    <n v="2"/>
    <n v="0"/>
    <d v="2019-06-26T00:00:00"/>
    <n v="9"/>
  </r>
  <r>
    <x v="1"/>
    <s v="SKI9"/>
    <x v="9"/>
    <n v="1"/>
    <s v="NA"/>
    <s v="NA"/>
    <n v="7"/>
    <n v="5"/>
    <n v="2"/>
    <n v="0.7142857142857143"/>
    <n v="0.25"/>
    <n v="7"/>
    <n v="11"/>
    <m/>
    <n v="80"/>
    <n v="20"/>
    <m/>
    <m/>
    <m/>
    <m/>
    <m/>
    <m/>
    <m/>
    <m/>
    <m/>
    <m/>
    <m/>
    <m/>
    <m/>
    <s v="SKI.9.A"/>
    <n v="16.857142857142858"/>
    <s v="NA"/>
    <s v="NA"/>
    <n v="1"/>
    <n v="2"/>
    <n v="0"/>
    <d v="2019-06-26T00:00:00"/>
    <n v="6"/>
  </r>
  <r>
    <x v="1"/>
    <m/>
    <x v="9"/>
    <s v="NA"/>
    <s v="NA"/>
    <s v="NA"/>
    <n v="80"/>
    <n v="19"/>
    <n v="61"/>
    <n v="0.23749999999999999"/>
    <n v="0.25"/>
    <n v="80"/>
    <n v="14"/>
    <m/>
    <n v="55"/>
    <n v="15"/>
    <m/>
    <m/>
    <m/>
    <m/>
    <m/>
    <m/>
    <m/>
    <m/>
    <m/>
    <m/>
    <m/>
    <m/>
    <m/>
    <s v="SKI.10.A"/>
    <n v="0.76249999999999996"/>
    <s v="NA"/>
    <s v="NA"/>
    <n v="1"/>
    <n v="2"/>
    <n v="0"/>
    <d v="2019-06-26T00:00:00"/>
    <n v="5"/>
  </r>
  <r>
    <x v="1"/>
    <m/>
    <x v="9"/>
    <s v="NA"/>
    <s v="NA"/>
    <s v="NA"/>
    <n v="52"/>
    <n v="16"/>
    <n v="36"/>
    <n v="0.30769230769230771"/>
    <n v="0.25"/>
    <n v="52"/>
    <n v="9.25"/>
    <m/>
    <n v="80"/>
    <n v="1"/>
    <m/>
    <m/>
    <m/>
    <m/>
    <m/>
    <m/>
    <m/>
    <m/>
    <m/>
    <m/>
    <m/>
    <m/>
    <m/>
    <s v="SKI.5.A"/>
    <n v="1.3269230769230769"/>
    <s v="NA"/>
    <s v="NA"/>
    <n v="1"/>
    <n v="2"/>
    <n v="0"/>
    <d v="2019-06-26T00:00:00"/>
    <n v="2"/>
  </r>
  <r>
    <x v="1"/>
    <s v="SKI1"/>
    <x v="0"/>
    <n v="1"/>
    <s v="NA"/>
    <s v="NA"/>
    <n v="5"/>
    <n v="0"/>
    <n v="5"/>
    <n v="0"/>
    <n v="0.25"/>
    <n v="5"/>
    <n v="12.5"/>
    <m/>
    <n v="90"/>
    <n v="0"/>
    <m/>
    <m/>
    <m/>
    <m/>
    <m/>
    <m/>
    <m/>
    <m/>
    <m/>
    <m/>
    <m/>
    <m/>
    <m/>
    <s v="SKI.1.A"/>
    <s v="NA"/>
    <s v="NA"/>
    <m/>
    <n v="1"/>
    <n v="2"/>
    <n v="0"/>
    <d v="2020-06-09T00:00:00"/>
    <m/>
  </r>
  <r>
    <x v="1"/>
    <s v="SKI2"/>
    <x v="0"/>
    <n v="1"/>
    <s v="NA"/>
    <s v="NA"/>
    <n v="6"/>
    <n v="1"/>
    <n v="5"/>
    <n v="0.16666666666666666"/>
    <n v="0.25"/>
    <n v="6"/>
    <n v="9.25"/>
    <m/>
    <n v="80"/>
    <n v="0"/>
    <m/>
    <m/>
    <m/>
    <m/>
    <m/>
    <m/>
    <m/>
    <m/>
    <m/>
    <m/>
    <m/>
    <m/>
    <m/>
    <s v="SKI.2.A"/>
    <s v="NA"/>
    <s v="NA"/>
    <m/>
    <n v="1"/>
    <n v="2"/>
    <n v="0"/>
    <d v="2020-06-09T00:00:00"/>
    <m/>
  </r>
  <r>
    <x v="1"/>
    <s v="SKI3"/>
    <x v="0"/>
    <n v="1"/>
    <s v="NA"/>
    <s v="NA"/>
    <n v="18"/>
    <n v="6"/>
    <n v="12"/>
    <n v="0.33333333333333331"/>
    <n v="0.25"/>
    <n v="18"/>
    <n v="11"/>
    <m/>
    <n v="90"/>
    <n v="0"/>
    <m/>
    <m/>
    <m/>
    <m/>
    <m/>
    <m/>
    <m/>
    <m/>
    <m/>
    <m/>
    <m/>
    <m/>
    <m/>
    <s v="SKI.3.A"/>
    <s v="NA"/>
    <s v="NA"/>
    <m/>
    <n v="1"/>
    <n v="2"/>
    <n v="0"/>
    <d v="2020-06-09T00:00:00"/>
    <m/>
  </r>
  <r>
    <x v="1"/>
    <s v="SKI4"/>
    <x v="0"/>
    <n v="1"/>
    <s v="NA"/>
    <s v="NA"/>
    <n v="4"/>
    <n v="1"/>
    <n v="3"/>
    <n v="0.25"/>
    <n v="0.25"/>
    <n v="4"/>
    <n v="9"/>
    <m/>
    <n v="95"/>
    <n v="0"/>
    <m/>
    <m/>
    <m/>
    <m/>
    <m/>
    <m/>
    <m/>
    <m/>
    <m/>
    <m/>
    <m/>
    <m/>
    <m/>
    <s v="SKI.4.A"/>
    <s v="NA"/>
    <s v="NA"/>
    <m/>
    <n v="1"/>
    <n v="2"/>
    <n v="0"/>
    <d v="2020-06-09T00:00:00"/>
    <m/>
  </r>
  <r>
    <x v="1"/>
    <s v="SKI6"/>
    <x v="0"/>
    <n v="1"/>
    <s v="NA"/>
    <s v="NA"/>
    <n v="64"/>
    <n v="12"/>
    <n v="52"/>
    <n v="0.1875"/>
    <n v="0.25"/>
    <n v="64"/>
    <n v="11.25"/>
    <m/>
    <n v="90"/>
    <n v="0"/>
    <m/>
    <m/>
    <m/>
    <m/>
    <m/>
    <m/>
    <m/>
    <m/>
    <m/>
    <m/>
    <m/>
    <m/>
    <m/>
    <s v="SKI.6.A"/>
    <s v="NA"/>
    <s v="NA"/>
    <m/>
    <n v="1"/>
    <n v="2"/>
    <n v="0"/>
    <d v="2020-06-09T00:00:00"/>
    <m/>
  </r>
  <r>
    <x v="1"/>
    <s v="SKI7"/>
    <x v="0"/>
    <n v="1"/>
    <s v="NA"/>
    <s v="NA"/>
    <n v="4"/>
    <n v="3"/>
    <n v="1"/>
    <n v="0.75"/>
    <n v="0.25"/>
    <n v="4"/>
    <n v="10.5"/>
    <m/>
    <n v="80"/>
    <n v="10"/>
    <m/>
    <m/>
    <m/>
    <m/>
    <m/>
    <m/>
    <m/>
    <m/>
    <m/>
    <m/>
    <m/>
    <m/>
    <m/>
    <s v="SKI.7.A"/>
    <s v="NA"/>
    <s v="NA"/>
    <m/>
    <n v="1"/>
    <n v="2"/>
    <n v="0"/>
    <d v="2020-06-09T00:00:00"/>
    <m/>
  </r>
  <r>
    <x v="1"/>
    <s v="SKI8"/>
    <x v="0"/>
    <n v="1"/>
    <s v="NA"/>
    <s v="NA"/>
    <n v="10"/>
    <n v="0"/>
    <n v="10"/>
    <n v="0"/>
    <n v="0.25"/>
    <n v="10"/>
    <n v="16"/>
    <m/>
    <n v="90"/>
    <n v="5"/>
    <m/>
    <m/>
    <m/>
    <m/>
    <m/>
    <m/>
    <m/>
    <m/>
    <m/>
    <m/>
    <m/>
    <m/>
    <m/>
    <s v="SKI.8.A"/>
    <s v="NA"/>
    <s v="NA"/>
    <m/>
    <n v="1"/>
    <n v="2"/>
    <n v="0"/>
    <d v="2020-06-09T00:00:00"/>
    <m/>
  </r>
  <r>
    <x v="1"/>
    <s v="SKI9"/>
    <x v="0"/>
    <n v="1"/>
    <s v="NA"/>
    <s v="NA"/>
    <n v="118"/>
    <n v="2"/>
    <n v="116"/>
    <n v="1.6949152542372881E-2"/>
    <n v="0.25"/>
    <n v="118"/>
    <n v="16"/>
    <m/>
    <n v="95"/>
    <n v="0"/>
    <m/>
    <m/>
    <m/>
    <m/>
    <m/>
    <m/>
    <m/>
    <m/>
    <m/>
    <m/>
    <m/>
    <m/>
    <m/>
    <s v="SKI.9.A"/>
    <s v="NA"/>
    <s v="NA"/>
    <m/>
    <n v="1"/>
    <n v="2"/>
    <n v="0"/>
    <d v="2020-06-09T00:00:00"/>
    <m/>
  </r>
  <r>
    <x v="1"/>
    <m/>
    <x v="0"/>
    <s v="NA"/>
    <s v="NA"/>
    <s v="NA"/>
    <n v="61"/>
    <n v="3"/>
    <n v="58"/>
    <n v="4.9180327868852458E-2"/>
    <n v="0.25"/>
    <n v="61"/>
    <n v="17.75"/>
    <m/>
    <n v="90"/>
    <n v="0"/>
    <m/>
    <m/>
    <m/>
    <m/>
    <m/>
    <m/>
    <m/>
    <m/>
    <m/>
    <m/>
    <m/>
    <m/>
    <m/>
    <s v="SKI.10.A"/>
    <s v="NA"/>
    <s v="NA"/>
    <m/>
    <n v="1"/>
    <n v="2"/>
    <n v="0"/>
    <d v="2020-06-09T00:00:00"/>
    <m/>
  </r>
  <r>
    <x v="1"/>
    <m/>
    <x v="0"/>
    <s v="NA"/>
    <s v="NA"/>
    <s v="NA"/>
    <n v="69"/>
    <n v="13"/>
    <n v="56"/>
    <n v="0.18840579710144928"/>
    <n v="0.25"/>
    <n v="69"/>
    <n v="8.75"/>
    <m/>
    <n v="90"/>
    <n v="0"/>
    <m/>
    <m/>
    <m/>
    <m/>
    <m/>
    <m/>
    <m/>
    <m/>
    <m/>
    <m/>
    <m/>
    <m/>
    <m/>
    <s v="SKI.5.A"/>
    <s v="NA"/>
    <s v="NA"/>
    <m/>
    <n v="1"/>
    <n v="2"/>
    <n v="0"/>
    <d v="2020-06-09T00:00:00"/>
    <m/>
  </r>
  <r>
    <x v="1"/>
    <s v="SKI1"/>
    <x v="1"/>
    <n v="1"/>
    <s v="TR1"/>
    <n v="5"/>
    <n v="6"/>
    <n v="2"/>
    <n v="4"/>
    <n v="0.33333333333333331"/>
    <n v="0.25"/>
    <n v="6"/>
    <n v="19.25"/>
    <m/>
    <n v="95"/>
    <n v="3"/>
    <n v="2"/>
    <n v="4"/>
    <s v="Mjødurt"/>
    <m/>
    <m/>
    <m/>
    <n v="18"/>
    <n v="13"/>
    <n v="22"/>
    <n v="24"/>
    <m/>
    <m/>
    <m/>
    <s v="SKI.1.A"/>
    <s v="NA"/>
    <s v="NA"/>
    <s v="NA"/>
    <n v="1"/>
    <n v="2"/>
    <n v="0"/>
    <d v="2021-07-02T00:00:00"/>
    <m/>
  </r>
  <r>
    <x v="1"/>
    <s v="SKI11"/>
    <x v="1"/>
    <n v="0"/>
    <s v="TR1"/>
    <n v="15"/>
    <n v="0"/>
    <n v="0"/>
    <n v="0"/>
    <s v="NA"/>
    <n v="0.25"/>
    <n v="0"/>
    <n v="11"/>
    <m/>
    <n v="90"/>
    <n v="5"/>
    <n v="5"/>
    <n v="0"/>
    <m/>
    <m/>
    <m/>
    <m/>
    <n v="11"/>
    <n v="10"/>
    <n v="13"/>
    <n v="10"/>
    <m/>
    <m/>
    <m/>
    <s v="SKI.11"/>
    <s v="NA"/>
    <s v="NA"/>
    <s v="NA"/>
    <n v="1"/>
    <n v="2"/>
    <n v="0"/>
    <d v="2021-07-02T00:00:00"/>
    <m/>
  </r>
  <r>
    <x v="1"/>
    <s v="SKI12"/>
    <x v="1"/>
    <n v="0"/>
    <s v="TR1"/>
    <n v="25"/>
    <n v="0"/>
    <n v="0"/>
    <m/>
    <s v="NA"/>
    <n v="0.25"/>
    <n v="0"/>
    <n v="14"/>
    <m/>
    <n v="80"/>
    <n v="0"/>
    <n v="20"/>
    <n v="0"/>
    <m/>
    <m/>
    <m/>
    <m/>
    <n v="15"/>
    <n v="11"/>
    <n v="13"/>
    <n v="17"/>
    <m/>
    <m/>
    <m/>
    <s v="SKI.12"/>
    <s v="NA"/>
    <s v="NA"/>
    <s v="NA"/>
    <n v="1"/>
    <n v="2"/>
    <n v="0"/>
    <d v="2021-07-02T00:00:00"/>
    <m/>
  </r>
  <r>
    <x v="1"/>
    <s v="SKI13"/>
    <x v="1"/>
    <n v="0"/>
    <s v="TR3"/>
    <n v="2"/>
    <n v="0"/>
    <n v="0"/>
    <n v="0"/>
    <s v="NA"/>
    <n v="0.25"/>
    <n v="0"/>
    <n v="13.25"/>
    <m/>
    <n v="80"/>
    <n v="25"/>
    <s v="NA"/>
    <n v="8"/>
    <s v="Mjødurt+kvann"/>
    <m/>
    <m/>
    <m/>
    <n v="10"/>
    <n v="8"/>
    <n v="15"/>
    <n v="20"/>
    <m/>
    <m/>
    <m/>
    <s v="SKI.13"/>
    <s v="NA"/>
    <s v="NA"/>
    <s v="NA"/>
    <n v="1"/>
    <n v="2"/>
    <n v="0"/>
    <d v="2021-07-02T00:00:00"/>
    <m/>
  </r>
  <r>
    <x v="1"/>
    <s v="SKI14"/>
    <x v="1"/>
    <n v="0"/>
    <s v="TR3"/>
    <n v="22"/>
    <n v="0"/>
    <n v="0"/>
    <n v="0"/>
    <s v="NA"/>
    <n v="0.25"/>
    <n v="0"/>
    <n v="12.5"/>
    <m/>
    <n v="50"/>
    <n v="60"/>
    <n v="5"/>
    <n v="1"/>
    <s v="Mjødurt"/>
    <m/>
    <m/>
    <m/>
    <n v="10"/>
    <n v="13"/>
    <n v="16"/>
    <n v="11"/>
    <m/>
    <m/>
    <m/>
    <s v="SKI.14"/>
    <s v="NA"/>
    <s v="NA"/>
    <s v="NA"/>
    <n v="1"/>
    <n v="2"/>
    <n v="0"/>
    <d v="2021-07-02T00:00:00"/>
    <m/>
  </r>
  <r>
    <x v="1"/>
    <s v="SKI15"/>
    <x v="1"/>
    <n v="0"/>
    <s v="TR2"/>
    <n v="5"/>
    <n v="0"/>
    <n v="0"/>
    <n v="0"/>
    <s v="NA"/>
    <n v="0.25"/>
    <n v="0"/>
    <n v="9.75"/>
    <m/>
    <n v="75"/>
    <n v="20"/>
    <n v="5"/>
    <n v="10"/>
    <s v="Mjødurt+kvann"/>
    <m/>
    <m/>
    <m/>
    <n v="8"/>
    <n v="10"/>
    <n v="12"/>
    <n v="9"/>
    <m/>
    <m/>
    <m/>
    <s v="SKI.15"/>
    <s v="NA"/>
    <s v="NA"/>
    <s v="NA"/>
    <n v="1"/>
    <n v="2"/>
    <n v="0"/>
    <d v="2021-07-02T00:00:00"/>
    <m/>
  </r>
  <r>
    <x v="1"/>
    <s v="SKI16"/>
    <x v="1"/>
    <n v="0"/>
    <s v="TR2"/>
    <n v="15"/>
    <n v="0"/>
    <n v="0"/>
    <n v="0"/>
    <s v="NA"/>
    <n v="0.25"/>
    <n v="0"/>
    <n v="11"/>
    <m/>
    <n v="60"/>
    <n v="4"/>
    <n v="10"/>
    <n v="4"/>
    <s v="Mjødurt"/>
    <m/>
    <m/>
    <m/>
    <n v="7"/>
    <n v="13"/>
    <n v="10"/>
    <n v="14"/>
    <m/>
    <m/>
    <m/>
    <s v="SKI.16"/>
    <s v="NA"/>
    <s v="NA"/>
    <s v="NA"/>
    <n v="1"/>
    <n v="2"/>
    <n v="0"/>
    <d v="2021-07-02T00:00:00"/>
    <m/>
  </r>
  <r>
    <x v="1"/>
    <s v="SKI17"/>
    <x v="1"/>
    <n v="0"/>
    <s v="TR2"/>
    <n v="25"/>
    <n v="0"/>
    <n v="0"/>
    <n v="0"/>
    <s v="NA"/>
    <n v="0.25"/>
    <n v="0"/>
    <n v="13"/>
    <m/>
    <n v="65"/>
    <n v="5"/>
    <n v="25"/>
    <n v="0"/>
    <m/>
    <m/>
    <m/>
    <m/>
    <n v="14"/>
    <n v="11"/>
    <n v="16"/>
    <n v="11"/>
    <m/>
    <m/>
    <m/>
    <s v="SKI.17"/>
    <s v="NA"/>
    <s v="NA"/>
    <s v="NA"/>
    <n v="1"/>
    <n v="2"/>
    <n v="0"/>
    <d v="2021-07-02T00:00:00"/>
    <m/>
  </r>
  <r>
    <x v="1"/>
    <s v="SKI2"/>
    <x v="1"/>
    <n v="1"/>
    <s v="TR3"/>
    <n v="12"/>
    <n v="6"/>
    <n v="1"/>
    <n v="5"/>
    <n v="0.16666666666666666"/>
    <n v="0.25"/>
    <n v="6"/>
    <n v="13.75"/>
    <m/>
    <n v="85"/>
    <n v="5"/>
    <n v="10"/>
    <n v="14"/>
    <s v="Mjødurt+kvann"/>
    <m/>
    <m/>
    <m/>
    <n v="11"/>
    <n v="14"/>
    <n v="15"/>
    <n v="15"/>
    <m/>
    <m/>
    <m/>
    <s v="SKI.2.A"/>
    <s v="NA"/>
    <s v="NA"/>
    <s v="NA"/>
    <n v="1"/>
    <n v="2"/>
    <n v="0"/>
    <d v="2021-07-02T00:00:00"/>
    <m/>
  </r>
  <r>
    <x v="1"/>
    <s v="SKI3"/>
    <x v="1"/>
    <n v="1"/>
    <s v="NA"/>
    <s v="NA"/>
    <n v="47"/>
    <n v="5"/>
    <n v="42"/>
    <n v="0.10638297872340426"/>
    <n v="0.25"/>
    <n v="47"/>
    <n v="16.75"/>
    <m/>
    <n v="95"/>
    <n v="1"/>
    <n v="5"/>
    <n v="10"/>
    <s v="Kvann"/>
    <m/>
    <m/>
    <m/>
    <n v="11"/>
    <n v="16"/>
    <n v="15"/>
    <n v="25"/>
    <m/>
    <m/>
    <m/>
    <s v="SKI.3.A"/>
    <s v="NA"/>
    <s v="NA"/>
    <s v="NA"/>
    <n v="1"/>
    <n v="2"/>
    <n v="0"/>
    <d v="2021-07-02T00:00:00"/>
    <m/>
  </r>
  <r>
    <x v="1"/>
    <s v="SKI4"/>
    <x v="1"/>
    <n v="1"/>
    <s v="NA"/>
    <s v="NA"/>
    <n v="4"/>
    <n v="1"/>
    <n v="3"/>
    <n v="0.25"/>
    <n v="0.25"/>
    <n v="4"/>
    <n v="11.75"/>
    <m/>
    <n v="90"/>
    <n v="2"/>
    <n v="5"/>
    <n v="14"/>
    <s v="Mjødurt+kvann"/>
    <m/>
    <m/>
    <m/>
    <n v="14"/>
    <n v="11"/>
    <n v="13"/>
    <n v="9"/>
    <m/>
    <m/>
    <m/>
    <s v="SKI.4.A"/>
    <s v="NA"/>
    <s v="NA"/>
    <s v="NA"/>
    <n v="1"/>
    <n v="2"/>
    <n v="0"/>
    <d v="2021-07-02T00:00:00"/>
    <m/>
  </r>
  <r>
    <x v="1"/>
    <s v="SKI6"/>
    <x v="1"/>
    <n v="1"/>
    <s v="NA"/>
    <s v="NA"/>
    <n v="99"/>
    <n v="20"/>
    <n v="79"/>
    <n v="0.20202020202020202"/>
    <n v="0.25"/>
    <n v="99"/>
    <n v="10.75"/>
    <m/>
    <n v="85"/>
    <n v="5"/>
    <n v="5"/>
    <n v="9"/>
    <s v="Mjødurt+kvann"/>
    <m/>
    <m/>
    <m/>
    <n v="11"/>
    <n v="10"/>
    <n v="10"/>
    <n v="12"/>
    <m/>
    <m/>
    <m/>
    <s v="SKI.6.A"/>
    <s v="NA"/>
    <s v="NA"/>
    <s v="NA"/>
    <n v="1"/>
    <n v="2"/>
    <n v="0"/>
    <d v="2021-07-02T00:00:00"/>
    <m/>
  </r>
  <r>
    <x v="1"/>
    <s v="SKI7"/>
    <x v="1"/>
    <n v="1"/>
    <s v="NA"/>
    <s v="NA"/>
    <n v="6"/>
    <n v="1"/>
    <n v="5"/>
    <n v="0.16666666666666666"/>
    <n v="0.25"/>
    <n v="6"/>
    <n v="16.25"/>
    <m/>
    <n v="95"/>
    <n v="5"/>
    <n v="5"/>
    <n v="7"/>
    <s v="Mjødurt+kvann"/>
    <m/>
    <m/>
    <m/>
    <n v="11"/>
    <n v="20"/>
    <n v="22"/>
    <n v="12"/>
    <m/>
    <m/>
    <m/>
    <s v="SKI.7.A"/>
    <s v="NA"/>
    <s v="NA"/>
    <s v="NA"/>
    <n v="1"/>
    <n v="2"/>
    <n v="0"/>
    <d v="2021-07-02T00:00:00"/>
    <m/>
  </r>
  <r>
    <x v="1"/>
    <s v="SKI8"/>
    <x v="1"/>
    <n v="1"/>
    <s v="NA"/>
    <s v="NA"/>
    <n v="9"/>
    <n v="5"/>
    <n v="4"/>
    <n v="0.55555555555555558"/>
    <n v="0.25"/>
    <n v="9"/>
    <n v="16.75"/>
    <m/>
    <n v="95"/>
    <n v="1"/>
    <n v="5"/>
    <n v="18"/>
    <s v="Mjødurt+kvann"/>
    <s v="ormetunge"/>
    <n v="5"/>
    <m/>
    <n v="22"/>
    <n v="10"/>
    <n v="20"/>
    <n v="15"/>
    <m/>
    <m/>
    <m/>
    <s v="SKI.8.A"/>
    <s v="NA"/>
    <s v="NA"/>
    <s v="NA"/>
    <n v="1"/>
    <n v="2"/>
    <n v="0"/>
    <d v="2021-07-02T00:00:00"/>
    <m/>
  </r>
  <r>
    <x v="1"/>
    <s v="SKI9"/>
    <x v="1"/>
    <n v="1"/>
    <s v="NA"/>
    <s v="NA"/>
    <n v="38"/>
    <n v="7"/>
    <n v="31"/>
    <n v="0.18421052631578946"/>
    <n v="0.25"/>
    <n v="38"/>
    <n v="16.5"/>
    <m/>
    <n v="90"/>
    <n v="5"/>
    <n v="5"/>
    <n v="8"/>
    <s v="Mjødurt+kvann"/>
    <m/>
    <m/>
    <m/>
    <n v="16"/>
    <n v="15"/>
    <n v="13"/>
    <n v="22"/>
    <m/>
    <m/>
    <m/>
    <s v="SKI.9.A"/>
    <s v="NA"/>
    <s v="NA"/>
    <s v="NA"/>
    <n v="1"/>
    <n v="2"/>
    <n v="0"/>
    <d v="2021-07-02T00:00:00"/>
    <m/>
  </r>
  <r>
    <x v="1"/>
    <s v="SKI1"/>
    <x v="2"/>
    <n v="1"/>
    <m/>
    <m/>
    <n v="7"/>
    <n v="6"/>
    <n v="1"/>
    <n v="0.8571428571428571"/>
    <n v="0.25"/>
    <n v="7"/>
    <n v="27.25"/>
    <m/>
    <n v="100"/>
    <n v="1"/>
    <n v="25"/>
    <n v="2"/>
    <s v="Mjødurt"/>
    <s v="NA"/>
    <n v="0"/>
    <m/>
    <n v="28"/>
    <n v="26"/>
    <n v="24"/>
    <n v="31"/>
    <m/>
    <m/>
    <m/>
    <m/>
    <m/>
    <s v="NA"/>
    <m/>
    <m/>
    <m/>
    <m/>
    <d v="2022-07-04T00:00:00"/>
    <m/>
  </r>
  <r>
    <x v="1"/>
    <s v="SKI11"/>
    <x v="2"/>
    <n v="0"/>
    <m/>
    <m/>
    <n v="0"/>
    <n v="0"/>
    <n v="0"/>
    <s v="NA"/>
    <n v="0.25"/>
    <n v="0"/>
    <n v="21"/>
    <m/>
    <n v="90"/>
    <n v="1"/>
    <n v="6"/>
    <n v="0"/>
    <s v="NA"/>
    <s v="NA"/>
    <n v="0"/>
    <s v="NB strandrødtopp 0.1%"/>
    <n v="12"/>
    <n v="21"/>
    <n v="28"/>
    <n v="23"/>
    <m/>
    <m/>
    <m/>
    <m/>
    <m/>
    <s v="NA"/>
    <m/>
    <m/>
    <m/>
    <m/>
    <d v="2022-07-04T00:00:00"/>
    <m/>
  </r>
  <r>
    <x v="1"/>
    <s v="SKI12"/>
    <x v="2"/>
    <n v="0"/>
    <m/>
    <m/>
    <n v="0"/>
    <n v="0"/>
    <n v="0"/>
    <s v="NA"/>
    <n v="0.25"/>
    <n v="0"/>
    <n v="21"/>
    <m/>
    <n v="90"/>
    <n v="0"/>
    <n v="30"/>
    <n v="0"/>
    <s v="NA"/>
    <s v="NA"/>
    <n v="0"/>
    <m/>
    <n v="21"/>
    <n v="26"/>
    <n v="22"/>
    <n v="15"/>
    <m/>
    <m/>
    <m/>
    <m/>
    <m/>
    <s v="NA"/>
    <m/>
    <m/>
    <m/>
    <m/>
    <d v="2022-07-04T00:00:00"/>
    <m/>
  </r>
  <r>
    <x v="1"/>
    <s v="SKI13"/>
    <x v="2"/>
    <n v="0"/>
    <m/>
    <m/>
    <n v="0"/>
    <n v="0"/>
    <n v="0"/>
    <s v="NA"/>
    <n v="0.25"/>
    <n v="0"/>
    <n v="22.25"/>
    <m/>
    <n v="88"/>
    <n v="45"/>
    <n v="6"/>
    <n v="12"/>
    <s v="Mjødurt"/>
    <s v="hjertegras"/>
    <n v="20"/>
    <s v="Strandsteinkløver 4%"/>
    <n v="20"/>
    <n v="23"/>
    <n v="17"/>
    <n v="29"/>
    <m/>
    <m/>
    <m/>
    <m/>
    <m/>
    <s v="NA"/>
    <m/>
    <m/>
    <m/>
    <m/>
    <d v="2022-07-04T00:00:00"/>
    <m/>
  </r>
  <r>
    <x v="1"/>
    <s v="SKI14"/>
    <x v="2"/>
    <n v="0"/>
    <m/>
    <m/>
    <n v="0"/>
    <n v="0"/>
    <n v="0"/>
    <s v="NA"/>
    <n v="0.25"/>
    <n v="0"/>
    <n v="13"/>
    <m/>
    <n v="75"/>
    <n v="25"/>
    <n v="28"/>
    <n v="0"/>
    <s v="NA"/>
    <s v="NA"/>
    <n v="0"/>
    <m/>
    <n v="16"/>
    <n v="10"/>
    <n v="11"/>
    <n v="15"/>
    <m/>
    <m/>
    <m/>
    <m/>
    <m/>
    <s v="NA"/>
    <m/>
    <m/>
    <m/>
    <m/>
    <d v="2022-07-04T00:00:00"/>
    <m/>
  </r>
  <r>
    <x v="1"/>
    <s v="SKI15"/>
    <x v="2"/>
    <n v="0"/>
    <m/>
    <m/>
    <n v="0"/>
    <n v="0"/>
    <n v="0"/>
    <s v="NA"/>
    <n v="0.25"/>
    <n v="0"/>
    <n v="18"/>
    <m/>
    <n v="90"/>
    <n v="60"/>
    <n v="16"/>
    <n v="7"/>
    <s v="Mjødurt"/>
    <s v="NA"/>
    <n v="0"/>
    <m/>
    <n v="16"/>
    <n v="22"/>
    <n v="16"/>
    <n v="18"/>
    <m/>
    <m/>
    <m/>
    <m/>
    <m/>
    <s v="NA"/>
    <m/>
    <m/>
    <m/>
    <m/>
    <d v="2022-07-04T00:00:00"/>
    <m/>
  </r>
  <r>
    <x v="1"/>
    <s v="SKI16"/>
    <x v="2"/>
    <n v="0"/>
    <m/>
    <m/>
    <n v="0"/>
    <n v="0"/>
    <n v="0"/>
    <s v="NA"/>
    <n v="0.25"/>
    <n v="0"/>
    <n v="21.25"/>
    <m/>
    <n v="75"/>
    <n v="15"/>
    <n v="20"/>
    <n v="2"/>
    <s v="Mjødurt"/>
    <s v="NA"/>
    <n v="0"/>
    <m/>
    <n v="29"/>
    <n v="21"/>
    <n v="14"/>
    <n v="21"/>
    <m/>
    <m/>
    <m/>
    <m/>
    <m/>
    <s v="NA"/>
    <m/>
    <m/>
    <m/>
    <m/>
    <d v="2022-07-04T00:00:00"/>
    <m/>
  </r>
  <r>
    <x v="1"/>
    <s v="SKI17"/>
    <x v="2"/>
    <n v="0"/>
    <m/>
    <m/>
    <n v="0"/>
    <n v="0"/>
    <n v="0"/>
    <s v="NA"/>
    <n v="0.25"/>
    <n v="0"/>
    <n v="17.5"/>
    <m/>
    <n v="78"/>
    <n v="4"/>
    <n v="18"/>
    <n v="0"/>
    <s v="NA"/>
    <s v="NA"/>
    <n v="0"/>
    <m/>
    <n v="14"/>
    <n v="22"/>
    <n v="16"/>
    <n v="18"/>
    <m/>
    <m/>
    <m/>
    <m/>
    <m/>
    <s v="NA"/>
    <m/>
    <m/>
    <m/>
    <m/>
    <d v="2022-07-04T00:00:00"/>
    <m/>
  </r>
  <r>
    <x v="1"/>
    <s v="SKI2"/>
    <x v="2"/>
    <n v="1"/>
    <m/>
    <m/>
    <n v="9"/>
    <n v="2"/>
    <n v="7"/>
    <n v="0.22222222222222221"/>
    <n v="0.25"/>
    <n v="9"/>
    <n v="17.5"/>
    <m/>
    <n v="75"/>
    <n v="2"/>
    <n v="40"/>
    <n v="0"/>
    <s v="NA"/>
    <s v="hjertegras"/>
    <n v="4"/>
    <m/>
    <n v="17"/>
    <n v="15"/>
    <n v="18"/>
    <n v="20"/>
    <m/>
    <m/>
    <m/>
    <m/>
    <m/>
    <s v="NA"/>
    <m/>
    <m/>
    <m/>
    <m/>
    <d v="2022-07-04T00:00:00"/>
    <m/>
  </r>
  <r>
    <x v="1"/>
    <s v="SKI3"/>
    <x v="2"/>
    <n v="1"/>
    <m/>
    <m/>
    <n v="68"/>
    <n v="10"/>
    <n v="58"/>
    <n v="0.14705882352941177"/>
    <n v="0.25"/>
    <n v="68"/>
    <n v="21"/>
    <m/>
    <n v="85"/>
    <n v="1"/>
    <n v="20"/>
    <n v="0"/>
    <s v="NA"/>
    <s v="hjertegras"/>
    <n v="8"/>
    <m/>
    <n v="7"/>
    <n v="22"/>
    <n v="21"/>
    <n v="34"/>
    <m/>
    <m/>
    <m/>
    <m/>
    <m/>
    <s v="NA"/>
    <m/>
    <m/>
    <m/>
    <m/>
    <d v="2022-07-04T00:00:00"/>
    <m/>
  </r>
  <r>
    <x v="1"/>
    <s v="SKI4"/>
    <x v="2"/>
    <n v="1"/>
    <m/>
    <m/>
    <n v="14"/>
    <n v="4"/>
    <n v="10"/>
    <n v="0.2857142857142857"/>
    <n v="0.25"/>
    <n v="14"/>
    <n v="14.5"/>
    <m/>
    <n v="90"/>
    <n v="35"/>
    <n v="5"/>
    <n v="10"/>
    <s v="Mjødurt"/>
    <s v="hjertegras"/>
    <n v="8"/>
    <m/>
    <n v="11"/>
    <n v="22"/>
    <n v="14"/>
    <n v="11"/>
    <m/>
    <m/>
    <m/>
    <m/>
    <m/>
    <s v="NA"/>
    <m/>
    <m/>
    <m/>
    <m/>
    <d v="2022-07-04T00:00:00"/>
    <m/>
  </r>
  <r>
    <x v="1"/>
    <s v="SKI6"/>
    <x v="2"/>
    <n v="1"/>
    <m/>
    <m/>
    <n v="133"/>
    <n v="13"/>
    <n v="120"/>
    <n v="9.7744360902255634E-2"/>
    <n v="0.25"/>
    <n v="133"/>
    <n v="25"/>
    <m/>
    <n v="92"/>
    <n v="35"/>
    <n v="5"/>
    <n v="4"/>
    <s v="Mjødurt"/>
    <s v="hjertegras"/>
    <n v="5"/>
    <m/>
    <n v="11"/>
    <n v="15"/>
    <n v="34"/>
    <n v="40"/>
    <m/>
    <m/>
    <m/>
    <m/>
    <m/>
    <s v="NA"/>
    <m/>
    <m/>
    <m/>
    <m/>
    <d v="2022-07-04T00:00:00"/>
    <m/>
  </r>
  <r>
    <x v="1"/>
    <s v="SKI7"/>
    <x v="2"/>
    <n v="1"/>
    <m/>
    <m/>
    <n v="16"/>
    <n v="1"/>
    <n v="15"/>
    <n v="6.25E-2"/>
    <n v="0.25"/>
    <n v="16"/>
    <n v="27"/>
    <m/>
    <n v="92"/>
    <n v="3"/>
    <n v="22"/>
    <n v="4"/>
    <s v="Mjødurt"/>
    <s v="hjertegras"/>
    <n v="20"/>
    <m/>
    <n v="33"/>
    <n v="18"/>
    <n v="33"/>
    <n v="24"/>
    <m/>
    <m/>
    <m/>
    <m/>
    <m/>
    <s v="NA"/>
    <m/>
    <m/>
    <m/>
    <m/>
    <d v="2022-07-04T00:00:00"/>
    <m/>
  </r>
  <r>
    <x v="1"/>
    <s v="SKI8"/>
    <x v="2"/>
    <n v="1"/>
    <m/>
    <m/>
    <n v="6"/>
    <n v="0"/>
    <n v="6"/>
    <n v="0"/>
    <n v="0.25"/>
    <n v="6"/>
    <n v="27.25"/>
    <m/>
    <n v="100"/>
    <n v="0"/>
    <n v="15"/>
    <n v="10"/>
    <s v="Mjødurt"/>
    <s v="hjertegras+ormetunge"/>
    <n v="12"/>
    <m/>
    <n v="32"/>
    <n v="27"/>
    <n v="22"/>
    <n v="28"/>
    <m/>
    <m/>
    <m/>
    <m/>
    <m/>
    <s v="NA"/>
    <m/>
    <m/>
    <m/>
    <m/>
    <d v="2022-07-04T00:00:00"/>
    <m/>
  </r>
  <r>
    <x v="1"/>
    <s v="SKI9"/>
    <x v="2"/>
    <n v="1"/>
    <m/>
    <m/>
    <n v="17"/>
    <n v="8"/>
    <n v="9"/>
    <n v="0.47058823529411764"/>
    <n v="0.25"/>
    <n v="17"/>
    <n v="23"/>
    <m/>
    <n v="92"/>
    <n v="14"/>
    <n v="5"/>
    <n v="2"/>
    <s v="Mjødurt"/>
    <s v="hjertegras"/>
    <n v="10"/>
    <m/>
    <n v="16"/>
    <n v="14"/>
    <n v="40"/>
    <n v="22"/>
    <m/>
    <m/>
    <m/>
    <m/>
    <m/>
    <s v="NA"/>
    <m/>
    <m/>
    <m/>
    <m/>
    <d v="2022-07-04T00:00:00"/>
    <m/>
  </r>
  <r>
    <x v="1"/>
    <s v="SKI1"/>
    <x v="3"/>
    <n v="1"/>
    <m/>
    <m/>
    <n v="11"/>
    <n v="4"/>
    <n v="7"/>
    <n v="0.36363636363636365"/>
    <n v="0.25"/>
    <n v="11"/>
    <n v="21.5"/>
    <n v="18.75"/>
    <n v="100"/>
    <n v="0"/>
    <n v="0.1"/>
    <n v="12"/>
    <s v="Mjødurt"/>
    <s v="jordbærkløver"/>
    <n v="34"/>
    <s v="slått, gåsemøkk"/>
    <n v="19"/>
    <n v="28"/>
    <n v="21"/>
    <n v="18"/>
    <n v="18"/>
    <n v="19.5"/>
    <m/>
    <m/>
    <m/>
    <s v="NA"/>
    <m/>
    <m/>
    <m/>
    <m/>
    <d v="2023-07-03T00:00:00"/>
    <m/>
  </r>
  <r>
    <x v="1"/>
    <s v="SKI11"/>
    <x v="3"/>
    <n v="0"/>
    <m/>
    <m/>
    <n v="0"/>
    <n v="0"/>
    <n v="0"/>
    <s v="NA"/>
    <n v="0.25"/>
    <n v="0"/>
    <n v="10.25"/>
    <n v="15"/>
    <n v="90"/>
    <n v="1"/>
    <n v="10"/>
    <n v="0"/>
    <s v="NA"/>
    <s v="strandrødtopp, ormetunge"/>
    <s v="1+1"/>
    <s v="slått, gåsemøkk"/>
    <n v="4"/>
    <n v="5"/>
    <n v="19"/>
    <n v="13"/>
    <n v="17"/>
    <n v="13"/>
    <m/>
    <m/>
    <m/>
    <s v="NA"/>
    <m/>
    <m/>
    <m/>
    <m/>
    <d v="2023-07-03T00:00:00"/>
    <m/>
  </r>
  <r>
    <x v="1"/>
    <s v="SKI12"/>
    <x v="3"/>
    <n v="0"/>
    <m/>
    <m/>
    <n v="0"/>
    <n v="0"/>
    <n v="0"/>
    <s v="NA"/>
    <n v="0.25"/>
    <n v="0"/>
    <n v="18.5"/>
    <n v="15.75"/>
    <n v="85"/>
    <n v="0"/>
    <n v="15"/>
    <n v="1"/>
    <s v="Strandsteinkløver"/>
    <s v="NA"/>
    <n v="0"/>
    <s v="slått, gåsemøkk"/>
    <n v="17"/>
    <n v="18"/>
    <n v="17"/>
    <n v="22"/>
    <n v="17.5"/>
    <n v="14"/>
    <m/>
    <m/>
    <m/>
    <s v="NA"/>
    <m/>
    <m/>
    <m/>
    <m/>
    <d v="2023-07-03T00:00:00"/>
    <m/>
  </r>
  <r>
    <x v="1"/>
    <s v="SKI13"/>
    <x v="3"/>
    <n v="0"/>
    <m/>
    <m/>
    <n v="0"/>
    <n v="0"/>
    <n v="0"/>
    <s v="NA"/>
    <n v="0.25"/>
    <n v="0"/>
    <n v="19.5"/>
    <n v="18.75"/>
    <n v="95"/>
    <n v="5"/>
    <n v="5"/>
    <s v="8+3"/>
    <s v="Mjødurt+strandkjeks"/>
    <s v="hjertegras"/>
    <n v="1"/>
    <s v="slått, gåsemøkk"/>
    <n v="21"/>
    <n v="16"/>
    <n v="25"/>
    <n v="16"/>
    <n v="19.5"/>
    <n v="18"/>
    <m/>
    <m/>
    <m/>
    <s v="NA"/>
    <m/>
    <m/>
    <m/>
    <m/>
    <d v="2023-07-03T00:00:00"/>
    <m/>
  </r>
  <r>
    <x v="1"/>
    <s v="SKI14"/>
    <x v="3"/>
    <n v="0"/>
    <m/>
    <m/>
    <n v="0"/>
    <n v="0"/>
    <n v="0"/>
    <s v="NA"/>
    <n v="0.25"/>
    <n v="0"/>
    <n v="14.5"/>
    <n v="11.75"/>
    <n v="60"/>
    <n v="22"/>
    <n v="24"/>
    <s v="2+3"/>
    <s v="mjødurt+furu"/>
    <s v="NA"/>
    <n v="0"/>
    <s v="slått, gåsemøkk"/>
    <n v="14"/>
    <n v="12"/>
    <n v="14"/>
    <n v="18"/>
    <n v="11"/>
    <n v="12.5"/>
    <m/>
    <m/>
    <m/>
    <s v="NA"/>
    <m/>
    <m/>
    <m/>
    <m/>
    <d v="2023-07-03T00:00:00"/>
    <m/>
  </r>
  <r>
    <x v="1"/>
    <s v="SKI15"/>
    <x v="3"/>
    <n v="0"/>
    <m/>
    <m/>
    <n v="0"/>
    <n v="0"/>
    <n v="0"/>
    <s v="NA"/>
    <n v="0.25"/>
    <n v="0"/>
    <n v="14"/>
    <n v="20.5"/>
    <n v="93"/>
    <n v="18"/>
    <n v="12"/>
    <s v="9+7"/>
    <s v="Mjødurt+strandkjeks"/>
    <s v="NA"/>
    <n v="0"/>
    <s v="slått"/>
    <n v="16"/>
    <n v="8"/>
    <n v="15"/>
    <n v="17"/>
    <n v="20"/>
    <n v="21"/>
    <m/>
    <m/>
    <m/>
    <s v="NA"/>
    <m/>
    <m/>
    <m/>
    <m/>
    <d v="2023-07-03T00:00:00"/>
    <m/>
  </r>
  <r>
    <x v="1"/>
    <s v="SKI16"/>
    <x v="3"/>
    <n v="0"/>
    <m/>
    <m/>
    <n v="0"/>
    <n v="0"/>
    <n v="0"/>
    <s v="NA"/>
    <n v="0.25"/>
    <n v="0"/>
    <n v="13.75"/>
    <n v="17"/>
    <n v="92"/>
    <n v="12"/>
    <n v="9"/>
    <n v="7"/>
    <s v="Mjødurt"/>
    <s v="NA"/>
    <n v="0"/>
    <s v="slått"/>
    <n v="22"/>
    <n v="20"/>
    <n v="4"/>
    <n v="9"/>
    <n v="17"/>
    <n v="17"/>
    <m/>
    <m/>
    <m/>
    <s v="NA"/>
    <m/>
    <m/>
    <m/>
    <m/>
    <d v="2023-07-03T00:00:00"/>
    <m/>
  </r>
  <r>
    <x v="1"/>
    <s v="SKI17"/>
    <x v="3"/>
    <n v="0"/>
    <m/>
    <m/>
    <n v="0"/>
    <n v="0"/>
    <n v="0"/>
    <s v="NA"/>
    <n v="0.25"/>
    <n v="0"/>
    <n v="20.25"/>
    <n v="14.25"/>
    <n v="85"/>
    <n v="7"/>
    <n v="14"/>
    <n v="0"/>
    <s v="NA"/>
    <s v="NA"/>
    <n v="0"/>
    <s v="slått"/>
    <n v="18"/>
    <n v="14"/>
    <n v="24"/>
    <n v="25"/>
    <n v="15.5"/>
    <n v="13"/>
    <m/>
    <m/>
    <m/>
    <s v="NA"/>
    <m/>
    <m/>
    <m/>
    <m/>
    <d v="2023-07-03T00:00:00"/>
    <m/>
  </r>
  <r>
    <x v="1"/>
    <s v="SKI2"/>
    <x v="3"/>
    <n v="1"/>
    <m/>
    <m/>
    <n v="10"/>
    <n v="1"/>
    <n v="9"/>
    <n v="0.1"/>
    <n v="0.25"/>
    <n v="10"/>
    <n v="12"/>
    <n v="13.5"/>
    <n v="70"/>
    <n v="1"/>
    <n v="30"/>
    <s v="1+6+12"/>
    <s v="furu+mjødurt+strandkjeks"/>
    <s v="NA"/>
    <n v="0"/>
    <s v="slått"/>
    <n v="10"/>
    <n v="13"/>
    <n v="14"/>
    <n v="11"/>
    <n v="15"/>
    <n v="12"/>
    <m/>
    <m/>
    <m/>
    <s v="NA"/>
    <m/>
    <m/>
    <m/>
    <m/>
    <d v="2023-07-03T00:00:00"/>
    <m/>
  </r>
  <r>
    <x v="1"/>
    <s v="SKI3"/>
    <x v="3"/>
    <n v="1"/>
    <m/>
    <m/>
    <n v="52"/>
    <n v="24"/>
    <n v="28"/>
    <n v="0.46153846153846156"/>
    <n v="0.25"/>
    <n v="52"/>
    <n v="11.25"/>
    <n v="13.75"/>
    <n v="99"/>
    <n v="0"/>
    <n v="3"/>
    <s v="3+7"/>
    <s v="Mjødurt+strandkjeks"/>
    <s v="hjertegras"/>
    <n v="1"/>
    <s v="slått"/>
    <n v="11"/>
    <n v="15"/>
    <n v="5"/>
    <n v="14"/>
    <n v="13.5"/>
    <n v="14"/>
    <m/>
    <m/>
    <m/>
    <s v="NA"/>
    <m/>
    <m/>
    <m/>
    <m/>
    <d v="2023-07-03T00:00:00"/>
    <m/>
  </r>
  <r>
    <x v="1"/>
    <s v="SKI4"/>
    <x v="3"/>
    <n v="1"/>
    <m/>
    <m/>
    <n v="15"/>
    <n v="3"/>
    <n v="12"/>
    <n v="0.2"/>
    <n v="0.25"/>
    <n v="15"/>
    <n v="9.75"/>
    <n v="13"/>
    <n v="94"/>
    <n v="65"/>
    <n v="6"/>
    <s v="12+3"/>
    <s v="Mjødurt+strandkjeks"/>
    <s v="NA"/>
    <n v="0"/>
    <s v="slått"/>
    <n v="13"/>
    <n v="9"/>
    <n v="9"/>
    <n v="8"/>
    <n v="13"/>
    <n v="13"/>
    <m/>
    <m/>
    <m/>
    <s v="NA"/>
    <m/>
    <m/>
    <m/>
    <m/>
    <d v="2023-07-03T00:00:00"/>
    <m/>
  </r>
  <r>
    <x v="1"/>
    <s v="SKI6"/>
    <x v="3"/>
    <n v="1"/>
    <m/>
    <m/>
    <n v="75"/>
    <n v="11"/>
    <n v="64"/>
    <n v="0.14666666666666667"/>
    <n v="0.25"/>
    <n v="75"/>
    <n v="12.25"/>
    <n v="11"/>
    <n v="97"/>
    <n v="5"/>
    <n v="3"/>
    <s v="6+10"/>
    <s v="Mjødurt+strandkjeks"/>
    <s v="hjertegras"/>
    <n v="1"/>
    <s v="slått"/>
    <n v="10"/>
    <n v="12"/>
    <n v="16"/>
    <n v="11"/>
    <n v="10"/>
    <n v="12"/>
    <m/>
    <m/>
    <m/>
    <s v="NA"/>
    <m/>
    <m/>
    <m/>
    <m/>
    <d v="2023-07-03T00:00:00"/>
    <m/>
  </r>
  <r>
    <x v="1"/>
    <s v="SKI7"/>
    <x v="3"/>
    <n v="1"/>
    <m/>
    <m/>
    <n v="15"/>
    <n v="1"/>
    <n v="14"/>
    <n v="6.6666666666666666E-2"/>
    <n v="0.25"/>
    <n v="15"/>
    <n v="17.25"/>
    <s v="NA"/>
    <n v="92"/>
    <s v="NA"/>
    <n v="40"/>
    <s v="5+10"/>
    <s v="Mjødurt+strandkjeks"/>
    <s v="hjertegras"/>
    <n v="1"/>
    <s v="slått"/>
    <n v="25"/>
    <n v="15"/>
    <n v="13"/>
    <n v="16"/>
    <s v="NA"/>
    <s v="NA"/>
    <m/>
    <m/>
    <m/>
    <s v="NA"/>
    <m/>
    <m/>
    <m/>
    <m/>
    <d v="2023-07-03T00:00:00"/>
    <m/>
  </r>
  <r>
    <x v="1"/>
    <s v="SKI8"/>
    <x v="3"/>
    <n v="1"/>
    <m/>
    <m/>
    <n v="8"/>
    <n v="0"/>
    <n v="8"/>
    <n v="0"/>
    <n v="0.25"/>
    <n v="8"/>
    <n v="16.75"/>
    <n v="15.25"/>
    <n v="90"/>
    <n v="2"/>
    <n v="15"/>
    <s v="5+6"/>
    <s v="Mjødurt+strandkjeks"/>
    <s v="ormetunge+hjertegras"/>
    <s v="5+1"/>
    <s v="slått"/>
    <n v="15"/>
    <n v="20"/>
    <n v="13"/>
    <n v="19"/>
    <n v="16.5"/>
    <n v="14"/>
    <m/>
    <m/>
    <m/>
    <s v="NA"/>
    <m/>
    <n v="1"/>
    <m/>
    <m/>
    <d v="2023-07-03T00:00:00"/>
    <m/>
  </r>
  <r>
    <x v="1"/>
    <s v="SKI9"/>
    <x v="3"/>
    <n v="1"/>
    <m/>
    <m/>
    <n v="15"/>
    <n v="6"/>
    <n v="9"/>
    <n v="0.4"/>
    <n v="0.25"/>
    <n v="15"/>
    <n v="18"/>
    <n v="13.5"/>
    <n v="95"/>
    <n v="25"/>
    <n v="5"/>
    <s v="5+6"/>
    <s v="Mjødurt+strandkjeks"/>
    <s v="NA"/>
    <n v="0"/>
    <s v="slått"/>
    <n v="16"/>
    <n v="19"/>
    <n v="19"/>
    <n v="18"/>
    <n v="13"/>
    <n v="14"/>
    <m/>
    <m/>
    <m/>
    <s v="NA"/>
    <m/>
    <m/>
    <m/>
    <m/>
    <d v="2023-07-03T00:00:00"/>
    <m/>
  </r>
  <r>
    <x v="2"/>
    <s v="SKJ1"/>
    <x v="4"/>
    <n v="1"/>
    <s v="NA"/>
    <s v="NA"/>
    <n v="2"/>
    <n v="1"/>
    <n v="1"/>
    <n v="0.5"/>
    <n v="0.25"/>
    <n v="2"/>
    <n v="7"/>
    <m/>
    <n v="85"/>
    <m/>
    <m/>
    <m/>
    <m/>
    <m/>
    <m/>
    <m/>
    <m/>
    <m/>
    <m/>
    <m/>
    <m/>
    <m/>
    <s v="Skjellvik.ute"/>
    <s v="SKX.1.A"/>
    <n v="1.5"/>
    <n v="1248.5"/>
    <n v="47.5"/>
    <n v="1"/>
    <n v="1"/>
    <n v="1"/>
    <m/>
    <m/>
  </r>
  <r>
    <x v="2"/>
    <s v="SKJ10"/>
    <x v="4"/>
    <n v="1"/>
    <s v="NA"/>
    <s v="NA"/>
    <n v="12"/>
    <n v="3"/>
    <n v="9"/>
    <n v="0.25"/>
    <n v="0.25"/>
    <n v="12"/>
    <n v="16"/>
    <m/>
    <n v="75"/>
    <m/>
    <m/>
    <m/>
    <m/>
    <m/>
    <m/>
    <m/>
    <m/>
    <m/>
    <m/>
    <m/>
    <m/>
    <m/>
    <s v="Skjellvik.ute"/>
    <s v="SKY.7.A"/>
    <n v="0.66666666666666663"/>
    <n v="518.83333333333337"/>
    <n v="57.9"/>
    <n v="1"/>
    <n v="1"/>
    <n v="0"/>
    <m/>
    <m/>
  </r>
  <r>
    <x v="2"/>
    <s v="SKJ11"/>
    <x v="4"/>
    <n v="1"/>
    <s v="NA"/>
    <s v="NA"/>
    <n v="27"/>
    <n v="6"/>
    <n v="21"/>
    <n v="0.22222222222222221"/>
    <n v="0.140625"/>
    <n v="48"/>
    <n v="15"/>
    <m/>
    <n v="75"/>
    <m/>
    <m/>
    <m/>
    <m/>
    <m/>
    <m/>
    <m/>
    <m/>
    <m/>
    <m/>
    <m/>
    <m/>
    <m/>
    <s v="Skjellvik.ute"/>
    <s v="SKY.10.A"/>
    <n v="1.962962962962963"/>
    <n v="983.66666666666663"/>
    <n v="54.8"/>
    <n v="1"/>
    <n v="1"/>
    <n v="0"/>
    <m/>
    <m/>
  </r>
  <r>
    <x v="2"/>
    <s v="SKJ12"/>
    <x v="4"/>
    <n v="1"/>
    <s v="NA"/>
    <s v="NA"/>
    <n v="7"/>
    <n v="1"/>
    <n v="6"/>
    <n v="0.14285714285714285"/>
    <n v="0.25"/>
    <n v="7"/>
    <n v="9"/>
    <m/>
    <n v="75"/>
    <m/>
    <m/>
    <m/>
    <m/>
    <m/>
    <m/>
    <m/>
    <m/>
    <m/>
    <m/>
    <m/>
    <m/>
    <m/>
    <s v="Skjellvik.ute"/>
    <s v="SKY.9.A"/>
    <n v="1.8571428571428572"/>
    <n v="540"/>
    <n v="58.6"/>
    <n v="1"/>
    <n v="1"/>
    <n v="0"/>
    <m/>
    <m/>
  </r>
  <r>
    <x v="2"/>
    <s v="SKJ2"/>
    <x v="4"/>
    <n v="1"/>
    <s v="NA"/>
    <s v="NA"/>
    <n v="2"/>
    <n v="1"/>
    <n v="1"/>
    <n v="0.5"/>
    <n v="0.25"/>
    <n v="2"/>
    <n v="12"/>
    <m/>
    <n v="85"/>
    <m/>
    <m/>
    <m/>
    <m/>
    <m/>
    <m/>
    <m/>
    <m/>
    <m/>
    <m/>
    <m/>
    <m/>
    <m/>
    <s v="Skjellvik.ute"/>
    <s v="SKX.10.A"/>
    <n v="2"/>
    <n v="2557.5"/>
    <n v="49.4"/>
    <n v="1"/>
    <n v="1"/>
    <n v="1"/>
    <m/>
    <m/>
  </r>
  <r>
    <x v="2"/>
    <s v="SKJ3"/>
    <x v="4"/>
    <n v="1"/>
    <s v="NA"/>
    <s v="NA"/>
    <n v="28"/>
    <n v="5"/>
    <n v="23"/>
    <n v="0.17857142857142858"/>
    <n v="0.25"/>
    <n v="28"/>
    <n v="7"/>
    <m/>
    <n v="100"/>
    <m/>
    <m/>
    <m/>
    <m/>
    <m/>
    <m/>
    <m/>
    <m/>
    <m/>
    <m/>
    <m/>
    <m/>
    <m/>
    <s v="Skjellvik.ute"/>
    <s v="SKX.3.A"/>
    <s v="NA"/>
    <n v="584.64285714285711"/>
    <n v="56"/>
    <n v="1"/>
    <n v="1"/>
    <n v="1"/>
    <m/>
    <m/>
  </r>
  <r>
    <x v="2"/>
    <s v="SKJ4"/>
    <x v="4"/>
    <n v="1"/>
    <s v="NA"/>
    <s v="NA"/>
    <n v="13"/>
    <n v="5"/>
    <n v="8"/>
    <n v="0.38461538461538464"/>
    <n v="0.25"/>
    <n v="13"/>
    <n v="5"/>
    <m/>
    <n v="80"/>
    <m/>
    <m/>
    <m/>
    <m/>
    <m/>
    <m/>
    <m/>
    <m/>
    <m/>
    <m/>
    <m/>
    <m/>
    <m/>
    <s v="Skjellvik.ute"/>
    <s v="SKX.6.A"/>
    <n v="2.1538461538461537"/>
    <n v="939.69230769230774"/>
    <n v="43.3"/>
    <n v="1"/>
    <n v="1"/>
    <n v="1"/>
    <m/>
    <m/>
  </r>
  <r>
    <x v="2"/>
    <s v="SKJ5"/>
    <x v="4"/>
    <n v="1"/>
    <s v="NA"/>
    <s v="NA"/>
    <n v="6"/>
    <n v="3"/>
    <n v="3"/>
    <n v="0.5"/>
    <n v="0.25"/>
    <n v="6"/>
    <n v="19"/>
    <m/>
    <n v="90"/>
    <m/>
    <m/>
    <m/>
    <m/>
    <m/>
    <m/>
    <m/>
    <m/>
    <m/>
    <m/>
    <m/>
    <m/>
    <m/>
    <s v="Skjellvik.ute"/>
    <s v="SKX.7.A"/>
    <n v="0.83333333333333337"/>
    <n v="2601.3333333333335"/>
    <n v="54.3"/>
    <n v="1"/>
    <n v="1"/>
    <n v="1"/>
    <m/>
    <m/>
  </r>
  <r>
    <x v="2"/>
    <s v="SKJ6"/>
    <x v="4"/>
    <n v="1"/>
    <s v="NA"/>
    <s v="NA"/>
    <n v="11"/>
    <n v="5"/>
    <n v="6"/>
    <n v="0.45454545454545453"/>
    <n v="0.25"/>
    <n v="11"/>
    <n v="14"/>
    <m/>
    <n v="90"/>
    <m/>
    <m/>
    <m/>
    <m/>
    <m/>
    <m/>
    <m/>
    <m/>
    <m/>
    <m/>
    <m/>
    <m/>
    <m/>
    <s v="Skjellvik.ute"/>
    <s v="SKX.8.A"/>
    <n v="2.2727272727272729"/>
    <n v="2015"/>
    <n v="48.5"/>
    <n v="1"/>
    <n v="1"/>
    <n v="1"/>
    <m/>
    <m/>
  </r>
  <r>
    <x v="2"/>
    <s v="SKJ7"/>
    <x v="4"/>
    <n v="1"/>
    <s v="NA"/>
    <s v="NA"/>
    <n v="8"/>
    <n v="3"/>
    <n v="5"/>
    <n v="0.375"/>
    <n v="0.25"/>
    <n v="8"/>
    <n v="7"/>
    <m/>
    <n v="85"/>
    <m/>
    <m/>
    <m/>
    <m/>
    <m/>
    <m/>
    <m/>
    <m/>
    <m/>
    <m/>
    <m/>
    <m/>
    <m/>
    <s v="Skjellvik.ute"/>
    <s v="SKY.2.A"/>
    <s v="NA"/>
    <n v="1085.125"/>
    <n v="63.1"/>
    <n v="1"/>
    <n v="1"/>
    <n v="0"/>
    <m/>
    <m/>
  </r>
  <r>
    <x v="2"/>
    <s v="SKJ8"/>
    <x v="4"/>
    <n v="1"/>
    <s v="NA"/>
    <s v="NA"/>
    <n v="1"/>
    <n v="1"/>
    <n v="0"/>
    <n v="1"/>
    <n v="0.25"/>
    <n v="1"/>
    <n v="9"/>
    <m/>
    <n v="85"/>
    <m/>
    <m/>
    <m/>
    <m/>
    <m/>
    <m/>
    <m/>
    <m/>
    <m/>
    <m/>
    <m/>
    <m/>
    <m/>
    <s v="Skjellvik.ute"/>
    <s v="SKY.3.A"/>
    <s v="NA"/>
    <n v="1440"/>
    <n v="61.1"/>
    <n v="1"/>
    <n v="1"/>
    <n v="0"/>
    <m/>
    <m/>
  </r>
  <r>
    <x v="2"/>
    <s v="SKJ9"/>
    <x v="4"/>
    <n v="1"/>
    <s v="NA"/>
    <s v="NA"/>
    <n v="7"/>
    <n v="1"/>
    <n v="6"/>
    <n v="0.14285714285714285"/>
    <n v="0.25"/>
    <n v="7"/>
    <n v="10"/>
    <m/>
    <n v="70"/>
    <m/>
    <m/>
    <m/>
    <m/>
    <m/>
    <m/>
    <m/>
    <m/>
    <m/>
    <m/>
    <m/>
    <m/>
    <m/>
    <s v="Skjellvik.ute"/>
    <s v="SKY.4.A"/>
    <n v="0.42857142857142855"/>
    <n v="1268.0857142857144"/>
    <n v="56.6"/>
    <n v="1"/>
    <n v="1"/>
    <n v="0"/>
    <m/>
    <m/>
  </r>
  <r>
    <x v="2"/>
    <m/>
    <x v="4"/>
    <s v="NA"/>
    <s v="NA"/>
    <s v="NA"/>
    <n v="4"/>
    <n v="2"/>
    <n v="2"/>
    <n v="0.5"/>
    <n v="0.25"/>
    <n v="4"/>
    <n v="8"/>
    <m/>
    <n v="95"/>
    <m/>
    <m/>
    <m/>
    <m/>
    <m/>
    <m/>
    <m/>
    <m/>
    <m/>
    <m/>
    <m/>
    <m/>
    <m/>
    <s v="Skjellvik.ute"/>
    <s v="SKX.2.A"/>
    <n v="0.75"/>
    <n v="1455"/>
    <n v="54.4"/>
    <n v="1"/>
    <n v="1"/>
    <n v="1"/>
    <m/>
    <m/>
  </r>
  <r>
    <x v="2"/>
    <m/>
    <x v="4"/>
    <s v="NA"/>
    <s v="NA"/>
    <s v="NA"/>
    <n v="7"/>
    <n v="4"/>
    <n v="3"/>
    <n v="0.5714285714285714"/>
    <n v="0.25"/>
    <n v="7"/>
    <n v="8"/>
    <m/>
    <n v="85"/>
    <m/>
    <m/>
    <m/>
    <m/>
    <m/>
    <m/>
    <m/>
    <m/>
    <m/>
    <m/>
    <m/>
    <m/>
    <m/>
    <s v="Skjellvik.ute"/>
    <s v="SKX.4.A"/>
    <n v="1.5714285714285714"/>
    <n v="2576.2857142857142"/>
    <n v="54.5"/>
    <n v="1"/>
    <n v="1"/>
    <n v="1"/>
    <m/>
    <m/>
  </r>
  <r>
    <x v="2"/>
    <m/>
    <x v="4"/>
    <s v="NA"/>
    <s v="NA"/>
    <s v="NA"/>
    <n v="33"/>
    <n v="22"/>
    <n v="11"/>
    <n v="0.66666666666666663"/>
    <n v="0.25"/>
    <n v="33"/>
    <n v="19"/>
    <m/>
    <n v="85"/>
    <m/>
    <m/>
    <m/>
    <m/>
    <m/>
    <m/>
    <m/>
    <m/>
    <m/>
    <m/>
    <m/>
    <m/>
    <m/>
    <s v="Skjellvik.ute"/>
    <s v="SKX.5.A"/>
    <s v="NA"/>
    <n v="1615.6363636363637"/>
    <n v="49.4"/>
    <n v="1"/>
    <n v="1"/>
    <n v="1"/>
    <m/>
    <m/>
  </r>
  <r>
    <x v="2"/>
    <m/>
    <x v="4"/>
    <s v="NA"/>
    <s v="NA"/>
    <s v="NA"/>
    <n v="10"/>
    <n v="3"/>
    <n v="7"/>
    <n v="0.3"/>
    <n v="0.25"/>
    <n v="10"/>
    <n v="18"/>
    <m/>
    <n v="90"/>
    <m/>
    <m/>
    <m/>
    <m/>
    <m/>
    <m/>
    <m/>
    <m/>
    <m/>
    <m/>
    <m/>
    <m/>
    <m/>
    <s v="Skjellvik.ute"/>
    <s v="SKX.9.A"/>
    <n v="2.2000000000000002"/>
    <n v="1619.4"/>
    <n v="50.1"/>
    <n v="1"/>
    <n v="1"/>
    <n v="1"/>
    <m/>
    <m/>
  </r>
  <r>
    <x v="2"/>
    <m/>
    <x v="4"/>
    <s v="NA"/>
    <s v="NA"/>
    <s v="NA"/>
    <n v="10"/>
    <n v="2"/>
    <n v="8"/>
    <n v="0.2"/>
    <n v="0.25"/>
    <n v="10"/>
    <n v="19"/>
    <m/>
    <n v="95"/>
    <m/>
    <m/>
    <m/>
    <m/>
    <m/>
    <m/>
    <m/>
    <m/>
    <m/>
    <m/>
    <m/>
    <m/>
    <m/>
    <s v="Skjellvik.inne"/>
    <s v="SKY.1.A"/>
    <n v="1.7"/>
    <n v="911.8"/>
    <n v="51.2"/>
    <n v="1"/>
    <n v="1"/>
    <n v="0"/>
    <m/>
    <m/>
  </r>
  <r>
    <x v="2"/>
    <m/>
    <x v="4"/>
    <s v="NA"/>
    <s v="NA"/>
    <s v="NA"/>
    <n v="7"/>
    <n v="1"/>
    <n v="6"/>
    <n v="0.14285714285714285"/>
    <n v="0.25"/>
    <n v="7"/>
    <n v="10"/>
    <m/>
    <n v="75"/>
    <m/>
    <m/>
    <m/>
    <m/>
    <m/>
    <m/>
    <m/>
    <m/>
    <m/>
    <m/>
    <m/>
    <m/>
    <m/>
    <s v="Skjellvik.inne"/>
    <s v="SKY.5.A"/>
    <n v="2.1428571428571428"/>
    <n v="1200.1428571428571"/>
    <n v="53.6"/>
    <n v="1"/>
    <n v="1"/>
    <n v="0"/>
    <m/>
    <m/>
  </r>
  <r>
    <x v="2"/>
    <m/>
    <x v="4"/>
    <s v="NA"/>
    <s v="NA"/>
    <s v="NA"/>
    <n v="11"/>
    <n v="2"/>
    <n v="9"/>
    <n v="0.18181818181818182"/>
    <n v="0.25"/>
    <n v="11"/>
    <n v="5"/>
    <m/>
    <n v="90"/>
    <m/>
    <m/>
    <m/>
    <m/>
    <m/>
    <m/>
    <m/>
    <m/>
    <m/>
    <m/>
    <m/>
    <m/>
    <m/>
    <s v="Skjellvik.inne"/>
    <s v="SKY.6.A"/>
    <n v="1.7272727272727273"/>
    <n v="801.90909090909088"/>
    <n v="55.7"/>
    <n v="1"/>
    <n v="1"/>
    <n v="0"/>
    <m/>
    <m/>
  </r>
  <r>
    <x v="2"/>
    <m/>
    <x v="4"/>
    <s v="NA"/>
    <s v="NA"/>
    <s v="NA"/>
    <n v="26"/>
    <n v="7"/>
    <n v="19"/>
    <n v="0.26923076923076922"/>
    <n v="0.140625"/>
    <n v="46.222222222222221"/>
    <n v="7"/>
    <m/>
    <n v="70"/>
    <m/>
    <m/>
    <m/>
    <m/>
    <m/>
    <m/>
    <m/>
    <m/>
    <m/>
    <m/>
    <m/>
    <m/>
    <m/>
    <m/>
    <s v="SKY.8.A"/>
    <n v="1.153846153846154"/>
    <n v="1041.1153846153845"/>
    <n v="49.3"/>
    <n v="1"/>
    <n v="1"/>
    <n v="0"/>
    <m/>
    <m/>
  </r>
  <r>
    <x v="2"/>
    <s v="SKJ1"/>
    <x v="5"/>
    <n v="1"/>
    <s v="NA"/>
    <s v="NA"/>
    <n v="3"/>
    <n v="2"/>
    <n v="1"/>
    <n v="0.66666666666666663"/>
    <n v="0.25"/>
    <n v="3"/>
    <s v="NA"/>
    <m/>
    <s v="NA"/>
    <m/>
    <m/>
    <m/>
    <m/>
    <m/>
    <m/>
    <m/>
    <m/>
    <m/>
    <m/>
    <m/>
    <m/>
    <m/>
    <s v="Skjellvik.ute"/>
    <s v="SKX.1.A"/>
    <n v="2.3333333333333335"/>
    <n v="2078.6666666666665"/>
    <s v="NA"/>
    <n v="1"/>
    <n v="2"/>
    <n v="0"/>
    <m/>
    <m/>
  </r>
  <r>
    <x v="2"/>
    <s v="SKJ10"/>
    <x v="5"/>
    <n v="1"/>
    <s v="NA"/>
    <s v="NA"/>
    <n v="8"/>
    <n v="1"/>
    <n v="7"/>
    <n v="0.125"/>
    <n v="0.25"/>
    <n v="8"/>
    <s v="NA"/>
    <m/>
    <s v="NA"/>
    <m/>
    <m/>
    <m/>
    <m/>
    <m/>
    <m/>
    <m/>
    <m/>
    <m/>
    <m/>
    <m/>
    <m/>
    <m/>
    <s v="Skjellvik.ute"/>
    <s v="SKY.7.A"/>
    <n v="1.125"/>
    <n v="793.75"/>
    <s v="NA"/>
    <n v="1"/>
    <n v="2"/>
    <n v="0"/>
    <m/>
    <m/>
  </r>
  <r>
    <x v="2"/>
    <s v="SKJ11"/>
    <x v="5"/>
    <n v="1"/>
    <s v="NA"/>
    <s v="NA"/>
    <n v="53"/>
    <n v="3"/>
    <n v="50"/>
    <n v="5.6603773584905662E-2"/>
    <n v="0.140625"/>
    <n v="94.222222222222229"/>
    <s v="NA"/>
    <m/>
    <s v="NA"/>
    <m/>
    <m/>
    <m/>
    <m/>
    <m/>
    <m/>
    <m/>
    <m/>
    <m/>
    <m/>
    <m/>
    <m/>
    <m/>
    <s v="Skjellvik.ute"/>
    <s v="SKY.10.A"/>
    <n v="0.71698113207547165"/>
    <n v="517.24528301886789"/>
    <s v="NA"/>
    <n v="1"/>
    <n v="2"/>
    <n v="0"/>
    <m/>
    <m/>
  </r>
  <r>
    <x v="2"/>
    <s v="SKJ12"/>
    <x v="5"/>
    <n v="1"/>
    <s v="NA"/>
    <s v="NA"/>
    <n v="13"/>
    <n v="0"/>
    <n v="13"/>
    <n v="0"/>
    <n v="0.25"/>
    <n v="13"/>
    <s v="NA"/>
    <m/>
    <s v="NA"/>
    <m/>
    <m/>
    <m/>
    <m/>
    <m/>
    <m/>
    <m/>
    <m/>
    <m/>
    <m/>
    <m/>
    <m/>
    <m/>
    <s v="Skjellvik.ute"/>
    <s v="SKY.9.A"/>
    <n v="1.0769230769230769"/>
    <n v="283.23076923076923"/>
    <s v="NA"/>
    <n v="1"/>
    <n v="2"/>
    <n v="0"/>
    <m/>
    <m/>
  </r>
  <r>
    <x v="2"/>
    <s v="SKJ2"/>
    <x v="5"/>
    <n v="1"/>
    <s v="NA"/>
    <s v="NA"/>
    <n v="4"/>
    <n v="1"/>
    <n v="3"/>
    <n v="0.25"/>
    <n v="0.25"/>
    <n v="4"/>
    <s v="NA"/>
    <m/>
    <s v="NA"/>
    <m/>
    <m/>
    <m/>
    <m/>
    <m/>
    <m/>
    <m/>
    <m/>
    <m/>
    <m/>
    <m/>
    <m/>
    <m/>
    <s v="Skjellvik.ute"/>
    <s v="SKX.10.A"/>
    <n v="1.25"/>
    <n v="557.75"/>
    <s v="NA"/>
    <n v="1"/>
    <n v="2"/>
    <n v="0"/>
    <m/>
    <m/>
  </r>
  <r>
    <x v="2"/>
    <s v="SKJ3"/>
    <x v="5"/>
    <n v="1"/>
    <s v="NA"/>
    <s v="NA"/>
    <s v="NA"/>
    <s v="NA"/>
    <s v="NA"/>
    <s v="NA"/>
    <n v="0.25"/>
    <s v="NA"/>
    <s v="NA"/>
    <m/>
    <s v="NA"/>
    <m/>
    <m/>
    <m/>
    <m/>
    <m/>
    <m/>
    <m/>
    <m/>
    <m/>
    <m/>
    <m/>
    <m/>
    <m/>
    <s v="Skjellvik.ute"/>
    <s v="SKX.3.A"/>
    <s v="NA"/>
    <s v="NA"/>
    <s v="NA"/>
    <n v="1"/>
    <n v="2"/>
    <n v="0"/>
    <m/>
    <m/>
  </r>
  <r>
    <x v="2"/>
    <s v="SKJ4"/>
    <x v="5"/>
    <n v="1"/>
    <s v="NA"/>
    <s v="NA"/>
    <n v="28"/>
    <n v="11"/>
    <n v="17"/>
    <n v="0.39285714285714285"/>
    <n v="0.25"/>
    <n v="28"/>
    <s v="NA"/>
    <m/>
    <s v="NA"/>
    <m/>
    <m/>
    <m/>
    <m/>
    <m/>
    <m/>
    <m/>
    <m/>
    <m/>
    <m/>
    <m/>
    <m/>
    <m/>
    <s v="Skjellvik.ute"/>
    <s v="SKX.6.A"/>
    <n v="0.7857142857142857"/>
    <n v="754.07142857142856"/>
    <s v="NA"/>
    <n v="1"/>
    <n v="2"/>
    <n v="0"/>
    <m/>
    <m/>
  </r>
  <r>
    <x v="2"/>
    <s v="SKJ5"/>
    <x v="5"/>
    <n v="1"/>
    <s v="NA"/>
    <s v="NA"/>
    <n v="5"/>
    <n v="0"/>
    <n v="5"/>
    <n v="0"/>
    <n v="0.25"/>
    <n v="5"/>
    <s v="NA"/>
    <m/>
    <s v="NA"/>
    <m/>
    <m/>
    <m/>
    <m/>
    <m/>
    <m/>
    <m/>
    <m/>
    <m/>
    <m/>
    <m/>
    <m/>
    <m/>
    <s v="Skjellvik.ute"/>
    <s v="SKX.7.A"/>
    <n v="3.6"/>
    <n v="1121"/>
    <s v="NA"/>
    <n v="1"/>
    <n v="2"/>
    <n v="0"/>
    <m/>
    <m/>
  </r>
  <r>
    <x v="2"/>
    <s v="SKJ6"/>
    <x v="5"/>
    <n v="1"/>
    <s v="NA"/>
    <s v="NA"/>
    <n v="25"/>
    <n v="9"/>
    <n v="16"/>
    <n v="0.36"/>
    <n v="0.25"/>
    <n v="25"/>
    <s v="NA"/>
    <m/>
    <s v="NA"/>
    <m/>
    <m/>
    <m/>
    <m/>
    <m/>
    <m/>
    <m/>
    <m/>
    <m/>
    <m/>
    <m/>
    <m/>
    <m/>
    <s v="Skjellvik.ute"/>
    <s v="SKX.8.A"/>
    <n v="0.6"/>
    <n v="2021.28"/>
    <s v="NA"/>
    <n v="1"/>
    <n v="2"/>
    <n v="0"/>
    <m/>
    <m/>
  </r>
  <r>
    <x v="2"/>
    <s v="SKJ7"/>
    <x v="5"/>
    <n v="1"/>
    <s v="NA"/>
    <s v="NA"/>
    <s v="NA"/>
    <s v="NA"/>
    <s v="NA"/>
    <s v="NA"/>
    <n v="0.25"/>
    <s v="NA"/>
    <s v="NA"/>
    <m/>
    <s v="NA"/>
    <m/>
    <m/>
    <m/>
    <m/>
    <m/>
    <m/>
    <m/>
    <m/>
    <m/>
    <m/>
    <m/>
    <m/>
    <m/>
    <s v="Skjellvik.ute"/>
    <s v="SKY.2.A"/>
    <s v="NA"/>
    <s v="NA"/>
    <s v="NA"/>
    <n v="1"/>
    <n v="2"/>
    <n v="0"/>
    <m/>
    <m/>
  </r>
  <r>
    <x v="2"/>
    <s v="SKJ8"/>
    <x v="5"/>
    <n v="1"/>
    <s v="NA"/>
    <s v="NA"/>
    <s v="NA"/>
    <s v="NA"/>
    <s v="NA"/>
    <s v="NA"/>
    <n v="0.25"/>
    <s v="NA"/>
    <s v="NA"/>
    <m/>
    <s v="NA"/>
    <m/>
    <m/>
    <m/>
    <m/>
    <m/>
    <m/>
    <m/>
    <m/>
    <m/>
    <m/>
    <m/>
    <m/>
    <m/>
    <s v="Skjellvik.ute"/>
    <s v="SKY.3.A"/>
    <s v="NA"/>
    <s v="NA"/>
    <s v="NA"/>
    <n v="1"/>
    <n v="2"/>
    <n v="0"/>
    <m/>
    <m/>
  </r>
  <r>
    <x v="2"/>
    <s v="SKJ9"/>
    <x v="5"/>
    <n v="1"/>
    <s v="NA"/>
    <s v="NA"/>
    <n v="3"/>
    <n v="0"/>
    <n v="3"/>
    <n v="0"/>
    <n v="0.25"/>
    <n v="3"/>
    <s v="NA"/>
    <m/>
    <s v="NA"/>
    <m/>
    <m/>
    <m/>
    <m/>
    <m/>
    <m/>
    <m/>
    <m/>
    <m/>
    <m/>
    <m/>
    <m/>
    <m/>
    <s v="Skjellvik.ute"/>
    <s v="SKY.4.A"/>
    <n v="1"/>
    <n v="2465.6666666666665"/>
    <s v="NA"/>
    <n v="1"/>
    <n v="2"/>
    <n v="0"/>
    <m/>
    <m/>
  </r>
  <r>
    <x v="2"/>
    <m/>
    <x v="5"/>
    <s v="NA"/>
    <s v="NA"/>
    <s v="NA"/>
    <n v="3"/>
    <n v="1"/>
    <n v="2"/>
    <n v="0.33333333333333331"/>
    <n v="0.25"/>
    <n v="3"/>
    <s v="NA"/>
    <m/>
    <s v="NA"/>
    <m/>
    <m/>
    <m/>
    <m/>
    <m/>
    <m/>
    <m/>
    <m/>
    <m/>
    <m/>
    <m/>
    <m/>
    <m/>
    <s v="Skjellvik.ute"/>
    <s v="SKX.2.A"/>
    <n v="0.66666666666666663"/>
    <n v="930"/>
    <s v="NA"/>
    <n v="1"/>
    <n v="2"/>
    <n v="0"/>
    <m/>
    <m/>
  </r>
  <r>
    <x v="2"/>
    <m/>
    <x v="5"/>
    <s v="NA"/>
    <s v="NA"/>
    <s v="NA"/>
    <n v="11"/>
    <n v="2"/>
    <n v="9"/>
    <n v="0.18181818181818182"/>
    <n v="0.25"/>
    <n v="11"/>
    <s v="NA"/>
    <m/>
    <s v="NA"/>
    <m/>
    <m/>
    <m/>
    <m/>
    <m/>
    <m/>
    <m/>
    <m/>
    <m/>
    <m/>
    <m/>
    <m/>
    <m/>
    <s v="Skjellvik.ute"/>
    <s v="SKX.4.A"/>
    <n v="1.1818181818181819"/>
    <n v="1691.7272727272727"/>
    <s v="NA"/>
    <n v="1"/>
    <n v="2"/>
    <n v="0"/>
    <m/>
    <m/>
  </r>
  <r>
    <x v="2"/>
    <m/>
    <x v="5"/>
    <s v="NA"/>
    <s v="NA"/>
    <s v="NA"/>
    <s v="NA"/>
    <s v="NA"/>
    <s v="NA"/>
    <s v="NA"/>
    <n v="0.25"/>
    <s v="NA"/>
    <s v="NA"/>
    <m/>
    <s v="NA"/>
    <m/>
    <m/>
    <m/>
    <m/>
    <m/>
    <m/>
    <m/>
    <m/>
    <m/>
    <m/>
    <m/>
    <m/>
    <m/>
    <s v="Skjellvik.ute"/>
    <s v="SKX.5.A"/>
    <s v="NA"/>
    <s v="NA"/>
    <s v="NA"/>
    <n v="1"/>
    <n v="2"/>
    <n v="0"/>
    <m/>
    <m/>
  </r>
  <r>
    <x v="2"/>
    <m/>
    <x v="5"/>
    <s v="NA"/>
    <s v="NA"/>
    <s v="NA"/>
    <n v="22"/>
    <n v="13"/>
    <n v="9"/>
    <n v="0.59090909090909094"/>
    <n v="0.25"/>
    <n v="22"/>
    <s v="NA"/>
    <m/>
    <s v="NA"/>
    <m/>
    <m/>
    <m/>
    <m/>
    <m/>
    <m/>
    <m/>
    <m/>
    <m/>
    <m/>
    <m/>
    <m/>
    <m/>
    <s v="Skjellvik.inne"/>
    <s v="SKX.9.A"/>
    <n v="1.4545454545454546"/>
    <n v="1090.7272727272727"/>
    <s v="NA"/>
    <n v="1"/>
    <n v="2"/>
    <n v="0"/>
    <m/>
    <m/>
  </r>
  <r>
    <x v="2"/>
    <m/>
    <x v="5"/>
    <s v="NA"/>
    <s v="NA"/>
    <s v="NA"/>
    <n v="17"/>
    <n v="1"/>
    <n v="16"/>
    <n v="5.8823529411764705E-2"/>
    <n v="0.25"/>
    <n v="17"/>
    <s v="NA"/>
    <m/>
    <s v="NA"/>
    <m/>
    <m/>
    <m/>
    <m/>
    <m/>
    <m/>
    <m/>
    <m/>
    <m/>
    <m/>
    <m/>
    <m/>
    <m/>
    <s v="Skjellvik.inne"/>
    <s v="SKY.1.A"/>
    <n v="0.82352941176470584"/>
    <n v="780.94117647058829"/>
    <s v="NA"/>
    <n v="1"/>
    <n v="2"/>
    <n v="0"/>
    <m/>
    <m/>
  </r>
  <r>
    <x v="2"/>
    <m/>
    <x v="5"/>
    <s v="NA"/>
    <s v="NA"/>
    <s v="NA"/>
    <n v="15"/>
    <n v="4"/>
    <n v="11"/>
    <n v="0.26666666666666666"/>
    <n v="0.25"/>
    <n v="15"/>
    <s v="NA"/>
    <m/>
    <s v="NA"/>
    <m/>
    <m/>
    <m/>
    <m/>
    <m/>
    <m/>
    <m/>
    <m/>
    <m/>
    <m/>
    <m/>
    <m/>
    <m/>
    <s v="Skjellvik.inne"/>
    <s v="SKY.5.A"/>
    <n v="1.2"/>
    <n v="1500.4"/>
    <s v="NA"/>
    <n v="1"/>
    <n v="2"/>
    <n v="0"/>
    <m/>
    <m/>
  </r>
  <r>
    <x v="2"/>
    <m/>
    <x v="5"/>
    <s v="NA"/>
    <s v="NA"/>
    <s v="NA"/>
    <n v="19"/>
    <n v="1"/>
    <n v="18"/>
    <n v="5.2631578947368418E-2"/>
    <n v="0.25"/>
    <n v="19"/>
    <s v="NA"/>
    <m/>
    <s v="NA"/>
    <m/>
    <m/>
    <m/>
    <m/>
    <m/>
    <m/>
    <m/>
    <m/>
    <m/>
    <m/>
    <m/>
    <m/>
    <m/>
    <s v="Skjellvik.inne"/>
    <s v="SKY.6.A"/>
    <n v="0.84210526315789469"/>
    <n v="868.89473684210532"/>
    <s v="NA"/>
    <n v="1"/>
    <n v="2"/>
    <n v="0"/>
    <m/>
    <m/>
  </r>
  <r>
    <x v="2"/>
    <m/>
    <x v="5"/>
    <s v="NA"/>
    <s v="NA"/>
    <s v="NA"/>
    <n v="30"/>
    <n v="6"/>
    <n v="24"/>
    <n v="0.2"/>
    <n v="0.140625"/>
    <n v="53.333333333333336"/>
    <s v="NA"/>
    <m/>
    <s v="NA"/>
    <m/>
    <m/>
    <m/>
    <m/>
    <m/>
    <m/>
    <m/>
    <m/>
    <m/>
    <m/>
    <m/>
    <m/>
    <m/>
    <m/>
    <s v="SKY.8.A"/>
    <n v="1.1333333333333333"/>
    <n v="662.23333333333335"/>
    <s v="NA"/>
    <n v="1"/>
    <n v="2"/>
    <n v="0"/>
    <m/>
    <m/>
  </r>
  <r>
    <x v="2"/>
    <s v="SKJ1"/>
    <x v="6"/>
    <n v="1"/>
    <s v="NA"/>
    <s v="NA"/>
    <n v="7"/>
    <n v="5"/>
    <n v="2"/>
    <n v="0.7142857142857143"/>
    <n v="0.25"/>
    <n v="7"/>
    <n v="7"/>
    <m/>
    <n v="75"/>
    <m/>
    <m/>
    <m/>
    <m/>
    <m/>
    <m/>
    <m/>
    <m/>
    <m/>
    <m/>
    <m/>
    <m/>
    <m/>
    <s v="Skjellvik.ute"/>
    <s v="SKX.1.A"/>
    <s v="NA"/>
    <n v="1804.2860000000001"/>
    <n v="56.174999999999997"/>
    <n v="1"/>
    <n v="2"/>
    <n v="0"/>
    <m/>
    <m/>
  </r>
  <r>
    <x v="2"/>
    <s v="SKJ10"/>
    <x v="6"/>
    <n v="1"/>
    <s v="NA"/>
    <s v="NA"/>
    <n v="9"/>
    <n v="0"/>
    <n v="9"/>
    <n v="0"/>
    <n v="0.25"/>
    <n v="9"/>
    <n v="7.5"/>
    <m/>
    <n v="95"/>
    <m/>
    <m/>
    <m/>
    <m/>
    <m/>
    <m/>
    <m/>
    <m/>
    <m/>
    <m/>
    <m/>
    <m/>
    <m/>
    <s v="Skjellvik.ute"/>
    <s v="SKY.7.A"/>
    <n v="1.2222222222222223"/>
    <n v="987.55560000000003"/>
    <n v="62"/>
    <n v="1"/>
    <n v="2"/>
    <n v="0"/>
    <m/>
    <m/>
  </r>
  <r>
    <x v="2"/>
    <s v="SKJ11"/>
    <x v="6"/>
    <n v="1"/>
    <s v="NA"/>
    <s v="NA"/>
    <n v="38"/>
    <n v="4"/>
    <n v="34"/>
    <n v="0.10526315789473684"/>
    <n v="0.140625"/>
    <n v="67.555555555555557"/>
    <n v="6.25"/>
    <m/>
    <n v="95"/>
    <m/>
    <m/>
    <m/>
    <m/>
    <m/>
    <m/>
    <m/>
    <m/>
    <m/>
    <m/>
    <m/>
    <m/>
    <m/>
    <s v="Skjellvik.ute"/>
    <s v="SKY.10.A"/>
    <n v="1.1842105263157894"/>
    <n v="605.44740000000002"/>
    <n v="62.8"/>
    <n v="1"/>
    <n v="2"/>
    <n v="0"/>
    <m/>
    <m/>
  </r>
  <r>
    <x v="2"/>
    <s v="SKJ12"/>
    <x v="6"/>
    <n v="1"/>
    <s v="NA"/>
    <s v="NA"/>
    <n v="14"/>
    <n v="0"/>
    <n v="14"/>
    <n v="0"/>
    <n v="0.25"/>
    <n v="14"/>
    <n v="9.5"/>
    <m/>
    <n v="100"/>
    <m/>
    <m/>
    <m/>
    <m/>
    <m/>
    <m/>
    <m/>
    <m/>
    <m/>
    <m/>
    <m/>
    <m/>
    <m/>
    <s v="Skjellvik.ute"/>
    <s v="SKY.9.A"/>
    <n v="1"/>
    <n v="471.57139999999998"/>
    <n v="71.3"/>
    <n v="1"/>
    <n v="2"/>
    <n v="0"/>
    <m/>
    <m/>
  </r>
  <r>
    <x v="2"/>
    <s v="SKJ2"/>
    <x v="6"/>
    <n v="1"/>
    <s v="NA"/>
    <s v="NA"/>
    <n v="5"/>
    <n v="0"/>
    <n v="5"/>
    <n v="0"/>
    <n v="0.25"/>
    <n v="5"/>
    <n v="5.5"/>
    <m/>
    <n v="80"/>
    <m/>
    <m/>
    <m/>
    <m/>
    <m/>
    <m/>
    <m/>
    <m/>
    <m/>
    <m/>
    <m/>
    <m/>
    <m/>
    <s v="Skjellvik.ute"/>
    <s v="SKX.10.A"/>
    <n v="0.4"/>
    <n v="1194.4000000000001"/>
    <n v="62.924999999999997"/>
    <n v="1"/>
    <n v="2"/>
    <n v="0"/>
    <m/>
    <m/>
  </r>
  <r>
    <x v="2"/>
    <s v="SKJ3"/>
    <x v="6"/>
    <n v="1"/>
    <s v="NA"/>
    <s v="NA"/>
    <s v="NA"/>
    <s v="NA"/>
    <s v="NA"/>
    <s v="NA"/>
    <n v="0.25"/>
    <s v="NA"/>
    <s v="NA"/>
    <m/>
    <s v="NA"/>
    <m/>
    <m/>
    <m/>
    <m/>
    <m/>
    <m/>
    <m/>
    <m/>
    <m/>
    <m/>
    <m/>
    <m/>
    <m/>
    <s v="Skjellvik.ute"/>
    <s v="SKX.3.A"/>
    <s v="NA"/>
    <s v="NA"/>
    <s v="NA"/>
    <n v="1"/>
    <n v="2"/>
    <n v="0"/>
    <m/>
    <m/>
  </r>
  <r>
    <x v="2"/>
    <s v="SKJ4"/>
    <x v="6"/>
    <n v="1"/>
    <s v="NA"/>
    <s v="NA"/>
    <n v="22"/>
    <n v="7"/>
    <n v="15"/>
    <n v="0.31818181818181818"/>
    <n v="0.25"/>
    <n v="22"/>
    <n v="8.375"/>
    <m/>
    <n v="90"/>
    <m/>
    <m/>
    <m/>
    <m/>
    <m/>
    <m/>
    <m/>
    <m/>
    <m/>
    <m/>
    <m/>
    <m/>
    <m/>
    <s v="Skjellvik.ute"/>
    <s v="SKX.6.A"/>
    <n v="1.5"/>
    <n v="728.59090000000003"/>
    <n v="62.024999999999999"/>
    <n v="1"/>
    <n v="2"/>
    <n v="0"/>
    <m/>
    <m/>
  </r>
  <r>
    <x v="2"/>
    <s v="SKJ5"/>
    <x v="6"/>
    <n v="1"/>
    <s v="NA"/>
    <s v="NA"/>
    <n v="18"/>
    <n v="5"/>
    <n v="13"/>
    <n v="0.27777777777777779"/>
    <n v="0.25"/>
    <n v="18"/>
    <n v="26"/>
    <m/>
    <n v="100"/>
    <m/>
    <m/>
    <m/>
    <m/>
    <m/>
    <m/>
    <m/>
    <m/>
    <m/>
    <m/>
    <m/>
    <m/>
    <m/>
    <s v="Skjellvik.ute"/>
    <s v="SKX.7.A"/>
    <n v="1.0555555555555556"/>
    <n v="1327.556"/>
    <n v="71.650000000000006"/>
    <n v="1"/>
    <n v="2"/>
    <n v="0"/>
    <m/>
    <m/>
  </r>
  <r>
    <x v="2"/>
    <s v="SKJ6"/>
    <x v="6"/>
    <n v="1"/>
    <s v="NA"/>
    <s v="NA"/>
    <n v="15"/>
    <n v="7"/>
    <n v="8"/>
    <n v="0.46666666666666667"/>
    <n v="0.25"/>
    <n v="15"/>
    <n v="14"/>
    <m/>
    <n v="100"/>
    <m/>
    <m/>
    <m/>
    <m/>
    <m/>
    <m/>
    <m/>
    <m/>
    <m/>
    <m/>
    <m/>
    <m/>
    <m/>
    <s v="Skjellvik.ute"/>
    <s v="SKX.8.A"/>
    <n v="1.8666666666666667"/>
    <n v="1472.5329999999999"/>
    <n v="62.975000000000001"/>
    <n v="1"/>
    <n v="2"/>
    <n v="0"/>
    <m/>
    <m/>
  </r>
  <r>
    <x v="2"/>
    <s v="SKJ7"/>
    <x v="6"/>
    <n v="1"/>
    <s v="NA"/>
    <s v="NA"/>
    <n v="8"/>
    <n v="0"/>
    <n v="8"/>
    <n v="0"/>
    <n v="0.25"/>
    <n v="8"/>
    <n v="4"/>
    <m/>
    <n v="60"/>
    <m/>
    <m/>
    <m/>
    <m/>
    <m/>
    <m/>
    <m/>
    <m/>
    <m/>
    <m/>
    <m/>
    <m/>
    <m/>
    <s v="Skjellvik.ute"/>
    <s v="SKY.2.A"/>
    <n v="1.875"/>
    <n v="986.25"/>
    <n v="76.674999999999997"/>
    <n v="1"/>
    <n v="2"/>
    <n v="0"/>
    <m/>
    <m/>
  </r>
  <r>
    <x v="2"/>
    <s v="SKJ8"/>
    <x v="6"/>
    <n v="1"/>
    <s v="NA"/>
    <s v="NA"/>
    <n v="2"/>
    <n v="2"/>
    <n v="0"/>
    <n v="1"/>
    <n v="0.25"/>
    <n v="2"/>
    <n v="12.5"/>
    <m/>
    <n v="90"/>
    <m/>
    <m/>
    <m/>
    <m/>
    <m/>
    <m/>
    <m/>
    <m/>
    <m/>
    <m/>
    <m/>
    <m/>
    <m/>
    <s v="Skjellvik.ute"/>
    <s v="SKY.3.A"/>
    <n v="1.5"/>
    <n v="1693.5"/>
    <n v="65.174999999999997"/>
    <n v="1"/>
    <n v="2"/>
    <n v="0"/>
    <m/>
    <m/>
  </r>
  <r>
    <x v="2"/>
    <s v="SKJ9"/>
    <x v="6"/>
    <n v="1"/>
    <s v="NA"/>
    <s v="NA"/>
    <n v="3"/>
    <n v="2"/>
    <n v="1"/>
    <n v="0.66666666666666663"/>
    <n v="0.25"/>
    <n v="3"/>
    <n v="13.5"/>
    <m/>
    <n v="100"/>
    <m/>
    <m/>
    <m/>
    <m/>
    <m/>
    <m/>
    <m/>
    <m/>
    <m/>
    <m/>
    <m/>
    <m/>
    <m/>
    <s v="Skjellvik.ute"/>
    <s v="SKY.4.A"/>
    <n v="2.3333333333333335"/>
    <n v="1722.67"/>
    <n v="70.8"/>
    <n v="1"/>
    <n v="2"/>
    <n v="0"/>
    <m/>
    <m/>
  </r>
  <r>
    <x v="2"/>
    <m/>
    <x v="6"/>
    <s v="NA"/>
    <s v="NA"/>
    <s v="NA"/>
    <n v="2"/>
    <n v="1"/>
    <n v="1"/>
    <n v="0.5"/>
    <n v="0.25"/>
    <n v="2"/>
    <n v="7.25"/>
    <m/>
    <n v="90"/>
    <m/>
    <m/>
    <m/>
    <m/>
    <m/>
    <m/>
    <m/>
    <m/>
    <m/>
    <m/>
    <m/>
    <m/>
    <m/>
    <s v="Skjellvik.ute"/>
    <s v="SKX.2.A"/>
    <n v="0.5"/>
    <n v="945"/>
    <n v="65.674999999999997"/>
    <n v="1"/>
    <n v="2"/>
    <n v="0"/>
    <m/>
    <m/>
  </r>
  <r>
    <x v="2"/>
    <m/>
    <x v="6"/>
    <s v="NA"/>
    <s v="NA"/>
    <s v="NA"/>
    <n v="13"/>
    <n v="9"/>
    <n v="4"/>
    <n v="0.69230769230769229"/>
    <n v="0.25"/>
    <n v="13"/>
    <n v="4.75"/>
    <m/>
    <n v="80"/>
    <m/>
    <m/>
    <m/>
    <m/>
    <m/>
    <m/>
    <m/>
    <m/>
    <m/>
    <m/>
    <m/>
    <m/>
    <m/>
    <s v="Skjellvik.ute"/>
    <s v="SKX.4.A"/>
    <n v="2.1538461538461537"/>
    <n v="1333"/>
    <n v="69.724999999999994"/>
    <n v="1"/>
    <n v="2"/>
    <n v="0"/>
    <m/>
    <m/>
  </r>
  <r>
    <x v="2"/>
    <m/>
    <x v="6"/>
    <s v="NA"/>
    <s v="NA"/>
    <s v="NA"/>
    <n v="36"/>
    <n v="3"/>
    <n v="33"/>
    <n v="8.3333333333333329E-2"/>
    <n v="0.25"/>
    <n v="36"/>
    <n v="10.75"/>
    <m/>
    <n v="95"/>
    <m/>
    <m/>
    <m/>
    <m/>
    <m/>
    <m/>
    <m/>
    <m/>
    <m/>
    <m/>
    <m/>
    <m/>
    <m/>
    <s v="Skjellvik.ute"/>
    <s v="SKX.5.A"/>
    <n v="0.83333333333333337"/>
    <n v="1032.5"/>
    <n v="68.75"/>
    <n v="1"/>
    <n v="2"/>
    <n v="0"/>
    <m/>
    <m/>
  </r>
  <r>
    <x v="2"/>
    <m/>
    <x v="6"/>
    <s v="NA"/>
    <s v="NA"/>
    <s v="NA"/>
    <n v="32"/>
    <n v="5"/>
    <n v="27"/>
    <n v="0.15625"/>
    <n v="0.25"/>
    <n v="32"/>
    <n v="14.5"/>
    <m/>
    <n v="90"/>
    <m/>
    <m/>
    <m/>
    <m/>
    <m/>
    <m/>
    <m/>
    <m/>
    <m/>
    <m/>
    <m/>
    <m/>
    <m/>
    <s v="Skjellvik.inne"/>
    <s v="SKX.9.A"/>
    <n v="1.09375"/>
    <n v="951.46879999999999"/>
    <n v="76.125"/>
    <n v="1"/>
    <n v="2"/>
    <n v="0"/>
    <m/>
    <m/>
  </r>
  <r>
    <x v="2"/>
    <m/>
    <x v="6"/>
    <s v="NA"/>
    <s v="NA"/>
    <s v="NA"/>
    <n v="14"/>
    <n v="2"/>
    <n v="12"/>
    <n v="0.14285714285714285"/>
    <n v="0.25"/>
    <n v="14"/>
    <n v="10"/>
    <m/>
    <n v="100"/>
    <m/>
    <m/>
    <m/>
    <m/>
    <m/>
    <m/>
    <m/>
    <m/>
    <m/>
    <m/>
    <m/>
    <m/>
    <m/>
    <s v="Skjellvik.inne"/>
    <s v="SKY.1.A"/>
    <n v="0.7857142857142857"/>
    <n v="745"/>
    <n v="66.174999999999997"/>
    <n v="1"/>
    <n v="2"/>
    <n v="0"/>
    <m/>
    <m/>
  </r>
  <r>
    <x v="2"/>
    <m/>
    <x v="6"/>
    <s v="NA"/>
    <s v="NA"/>
    <s v="NA"/>
    <n v="18"/>
    <n v="4"/>
    <n v="14"/>
    <n v="0.22222222222222221"/>
    <n v="0.25"/>
    <n v="18"/>
    <n v="13"/>
    <m/>
    <n v="95"/>
    <m/>
    <m/>
    <m/>
    <m/>
    <m/>
    <m/>
    <m/>
    <m/>
    <m/>
    <m/>
    <m/>
    <m/>
    <m/>
    <s v="Skjellvik.inne"/>
    <s v="SKY.5.A"/>
    <n v="1.1111111111111112"/>
    <n v="1164.444444"/>
    <n v="65.875"/>
    <n v="1"/>
    <n v="2"/>
    <n v="0"/>
    <m/>
    <m/>
  </r>
  <r>
    <x v="2"/>
    <m/>
    <x v="6"/>
    <s v="NA"/>
    <s v="NA"/>
    <s v="NA"/>
    <n v="16"/>
    <n v="3"/>
    <n v="13"/>
    <n v="0.1875"/>
    <n v="0.25"/>
    <n v="16"/>
    <n v="15.5"/>
    <m/>
    <n v="100"/>
    <m/>
    <m/>
    <m/>
    <m/>
    <m/>
    <m/>
    <m/>
    <m/>
    <m/>
    <m/>
    <m/>
    <m/>
    <m/>
    <s v="Skjellvik.inne"/>
    <s v="SKY.6.A"/>
    <n v="1.9375"/>
    <n v="1564"/>
    <n v="62.524999999999999"/>
    <n v="1"/>
    <n v="2"/>
    <n v="0"/>
    <m/>
    <m/>
  </r>
  <r>
    <x v="2"/>
    <m/>
    <x v="6"/>
    <s v="NA"/>
    <s v="NA"/>
    <s v="NA"/>
    <n v="34"/>
    <n v="2"/>
    <n v="32"/>
    <n v="5.8823529411764705E-2"/>
    <n v="0.140625"/>
    <n v="60.444444444444443"/>
    <n v="12"/>
    <m/>
    <n v="80"/>
    <m/>
    <m/>
    <m/>
    <m/>
    <m/>
    <m/>
    <m/>
    <m/>
    <m/>
    <m/>
    <m/>
    <m/>
    <m/>
    <m/>
    <s v="SKY.8.A"/>
    <n v="2.8235294117647056"/>
    <n v="913"/>
    <n v="60.55"/>
    <n v="1"/>
    <n v="2"/>
    <n v="0"/>
    <m/>
    <m/>
  </r>
  <r>
    <x v="2"/>
    <s v="SKJ1"/>
    <x v="7"/>
    <n v="1"/>
    <s v="NA"/>
    <s v="NA"/>
    <n v="11"/>
    <n v="7"/>
    <n v="4"/>
    <n v="0.63636363636363635"/>
    <n v="0.25"/>
    <n v="11"/>
    <n v="4"/>
    <m/>
    <n v="95"/>
    <m/>
    <m/>
    <m/>
    <m/>
    <m/>
    <m/>
    <m/>
    <m/>
    <m/>
    <m/>
    <m/>
    <m/>
    <m/>
    <s v="Skjellvik.ute"/>
    <s v="SKX.1.A"/>
    <n v="1.5714285714285714"/>
    <n v="1060.7272727272727"/>
    <n v="57.174999999999997"/>
    <n v="1"/>
    <n v="2"/>
    <n v="0"/>
    <m/>
    <m/>
  </r>
  <r>
    <x v="2"/>
    <s v="SKJ10"/>
    <x v="7"/>
    <n v="1"/>
    <s v="NA"/>
    <s v="NA"/>
    <n v="11"/>
    <n v="1"/>
    <n v="10"/>
    <n v="9.0909090909090912E-2"/>
    <n v="0.25"/>
    <n v="11"/>
    <n v="4.5"/>
    <m/>
    <n v="95"/>
    <m/>
    <m/>
    <m/>
    <m/>
    <m/>
    <m/>
    <m/>
    <m/>
    <m/>
    <m/>
    <m/>
    <m/>
    <m/>
    <s v="Skjellvik.ute"/>
    <s v="SKY.7.A"/>
    <n v="0.54545454545454541"/>
    <n v="899.33333333333337"/>
    <n v="59.95"/>
    <n v="1"/>
    <n v="2"/>
    <n v="0"/>
    <m/>
    <m/>
  </r>
  <r>
    <x v="2"/>
    <s v="SKJ11"/>
    <x v="7"/>
    <n v="1"/>
    <s v="NA"/>
    <s v="NA"/>
    <n v="45"/>
    <n v="6"/>
    <n v="39"/>
    <n v="0.13333333333333333"/>
    <n v="0.140625"/>
    <n v="80"/>
    <n v="8.5"/>
    <m/>
    <n v="95"/>
    <m/>
    <m/>
    <m/>
    <m/>
    <m/>
    <m/>
    <m/>
    <m/>
    <m/>
    <m/>
    <m/>
    <m/>
    <m/>
    <s v="Skjellvik.ute"/>
    <s v="SKY.10.A"/>
    <n v="3.7499999999999999E-2"/>
    <n v="748.42222222222222"/>
    <n v="64.7"/>
    <n v="1"/>
    <n v="2"/>
    <n v="0"/>
    <m/>
    <m/>
  </r>
  <r>
    <x v="2"/>
    <s v="SKJ12"/>
    <x v="7"/>
    <n v="1"/>
    <s v="NA"/>
    <s v="NA"/>
    <n v="14"/>
    <n v="1"/>
    <n v="13"/>
    <n v="7.1428571428571425E-2"/>
    <n v="0.25"/>
    <n v="14"/>
    <n v="10"/>
    <m/>
    <n v="100"/>
    <m/>
    <m/>
    <m/>
    <m/>
    <m/>
    <m/>
    <m/>
    <m/>
    <m/>
    <m/>
    <m/>
    <m/>
    <m/>
    <s v="Skjellvik.ute"/>
    <s v="SKY.9.A"/>
    <n v="1.4285714285714286"/>
    <n v="482.85714285714283"/>
    <n v="63.174999999999997"/>
    <n v="1"/>
    <n v="2"/>
    <n v="0"/>
    <m/>
    <m/>
  </r>
  <r>
    <x v="2"/>
    <s v="SKJ2"/>
    <x v="7"/>
    <n v="1"/>
    <s v="NA"/>
    <s v="NA"/>
    <n v="2"/>
    <n v="0"/>
    <n v="2"/>
    <n v="0"/>
    <n v="0.25"/>
    <n v="2"/>
    <n v="7.375"/>
    <m/>
    <n v="90"/>
    <m/>
    <m/>
    <m/>
    <m/>
    <m/>
    <m/>
    <m/>
    <m/>
    <m/>
    <m/>
    <m/>
    <m/>
    <m/>
    <s v="Skjellvik.ute"/>
    <s v="SKX.10.A"/>
    <n v="0.5"/>
    <n v="2180"/>
    <n v="54.1"/>
    <n v="1"/>
    <n v="2"/>
    <n v="0"/>
    <m/>
    <m/>
  </r>
  <r>
    <x v="2"/>
    <s v="SKJ3"/>
    <x v="7"/>
    <n v="1"/>
    <s v="NA"/>
    <s v="NA"/>
    <s v="NA"/>
    <s v="NA"/>
    <s v="NA"/>
    <s v="NA"/>
    <n v="0.25"/>
    <s v="NA"/>
    <s v="NA"/>
    <m/>
    <s v="NA"/>
    <m/>
    <m/>
    <m/>
    <m/>
    <m/>
    <m/>
    <m/>
    <m/>
    <m/>
    <m/>
    <m/>
    <m/>
    <m/>
    <s v="Skjellvik.ute"/>
    <s v="SKX.3.A"/>
    <s v="NA"/>
    <s v="NA"/>
    <s v="NA"/>
    <n v="1"/>
    <n v="2"/>
    <n v="0"/>
    <m/>
    <m/>
  </r>
  <r>
    <x v="2"/>
    <s v="SKJ4"/>
    <x v="7"/>
    <n v="1"/>
    <s v="NA"/>
    <s v="NA"/>
    <n v="33"/>
    <n v="14"/>
    <n v="19"/>
    <n v="0.42424242424242425"/>
    <n v="0.25"/>
    <n v="33"/>
    <n v="8.5"/>
    <m/>
    <n v="95"/>
    <m/>
    <m/>
    <m/>
    <m/>
    <m/>
    <m/>
    <m/>
    <m/>
    <m/>
    <m/>
    <m/>
    <m/>
    <m/>
    <s v="Skjellvik.ute"/>
    <s v="SKX.6.A"/>
    <n v="1.2121212121212122"/>
    <n v="775.69696969696975"/>
    <n v="56.4"/>
    <n v="1"/>
    <n v="2"/>
    <n v="0"/>
    <m/>
    <m/>
  </r>
  <r>
    <x v="2"/>
    <s v="SKJ5"/>
    <x v="7"/>
    <n v="1"/>
    <s v="NA"/>
    <s v="NA"/>
    <n v="19"/>
    <n v="5"/>
    <n v="14"/>
    <n v="0.26315789473684209"/>
    <n v="0.25"/>
    <n v="19"/>
    <n v="16.75"/>
    <m/>
    <n v="100"/>
    <m/>
    <m/>
    <m/>
    <m/>
    <m/>
    <m/>
    <m/>
    <m/>
    <m/>
    <m/>
    <m/>
    <m/>
    <m/>
    <s v="Skjellvik.ute"/>
    <s v="SKX.7.A"/>
    <n v="0.63157894736842102"/>
    <n v="1323.6842105263158"/>
    <n v="51.75"/>
    <n v="1"/>
    <n v="2"/>
    <n v="0"/>
    <m/>
    <m/>
  </r>
  <r>
    <x v="2"/>
    <s v="SKJ6"/>
    <x v="7"/>
    <n v="1"/>
    <s v="NA"/>
    <s v="NA"/>
    <n v="28"/>
    <n v="8"/>
    <n v="20"/>
    <n v="0.2857142857142857"/>
    <n v="0.25"/>
    <n v="28"/>
    <n v="11.75"/>
    <m/>
    <n v="90"/>
    <m/>
    <m/>
    <m/>
    <m/>
    <m/>
    <m/>
    <m/>
    <m/>
    <m/>
    <m/>
    <m/>
    <m/>
    <m/>
    <s v="Skjellvik.ute"/>
    <s v="SKX.8.A"/>
    <n v="0.8928571428571429"/>
    <n v="1098.6785714285713"/>
    <n v="60.9"/>
    <n v="1"/>
    <n v="2"/>
    <n v="0"/>
    <m/>
    <m/>
  </r>
  <r>
    <x v="2"/>
    <s v="SKJ7"/>
    <x v="7"/>
    <n v="1"/>
    <s v="NA"/>
    <s v="NA"/>
    <n v="15"/>
    <n v="2"/>
    <n v="13"/>
    <n v="0.13333333333333333"/>
    <n v="0.25"/>
    <n v="15"/>
    <n v="5"/>
    <m/>
    <n v="70"/>
    <m/>
    <m/>
    <m/>
    <m/>
    <m/>
    <m/>
    <m/>
    <m/>
    <m/>
    <m/>
    <m/>
    <m/>
    <m/>
    <s v="Skjellvik.ute"/>
    <s v="SKY.2.A"/>
    <n v="0.13333333333333333"/>
    <n v="519.86666666666667"/>
    <n v="74.174999999999997"/>
    <n v="1"/>
    <n v="2"/>
    <n v="0"/>
    <m/>
    <m/>
  </r>
  <r>
    <x v="2"/>
    <s v="SKJ8"/>
    <x v="7"/>
    <n v="1"/>
    <s v="NA"/>
    <s v="NA"/>
    <n v="3"/>
    <n v="0"/>
    <n v="3"/>
    <n v="0"/>
    <n v="0.25"/>
    <n v="3"/>
    <n v="8.5"/>
    <m/>
    <n v="100"/>
    <m/>
    <m/>
    <m/>
    <m/>
    <m/>
    <m/>
    <m/>
    <m/>
    <m/>
    <m/>
    <m/>
    <m/>
    <m/>
    <s v="Skjellvik.ute"/>
    <s v="SKY.3.A"/>
    <n v="0.33333333333333331"/>
    <n v="858.66666666666663"/>
    <n v="62.875"/>
    <n v="1"/>
    <n v="2"/>
    <n v="0"/>
    <m/>
    <m/>
  </r>
  <r>
    <x v="2"/>
    <s v="SKJ9"/>
    <x v="7"/>
    <n v="1"/>
    <s v="NA"/>
    <s v="NA"/>
    <n v="7"/>
    <n v="1"/>
    <n v="6"/>
    <n v="0.14285714285714285"/>
    <n v="0.25"/>
    <n v="7"/>
    <n v="8.25"/>
    <m/>
    <n v="100"/>
    <m/>
    <m/>
    <m/>
    <m/>
    <m/>
    <m/>
    <m/>
    <m/>
    <m/>
    <m/>
    <m/>
    <m/>
    <m/>
    <s v="Skjellvik.ute"/>
    <s v="SKY.4.A"/>
    <n v="0.42857142857142855"/>
    <n v="1225.1428571428571"/>
    <n v="58.825000000000003"/>
    <n v="1"/>
    <n v="2"/>
    <n v="0"/>
    <m/>
    <m/>
  </r>
  <r>
    <x v="2"/>
    <m/>
    <x v="7"/>
    <s v="NA"/>
    <s v="NA"/>
    <s v="NA"/>
    <n v="1"/>
    <n v="1"/>
    <n v="0"/>
    <n v="1"/>
    <n v="0.25"/>
    <n v="1"/>
    <n v="6.5"/>
    <m/>
    <n v="80"/>
    <m/>
    <m/>
    <m/>
    <m/>
    <m/>
    <m/>
    <m/>
    <m/>
    <m/>
    <m/>
    <m/>
    <m/>
    <m/>
    <s v="Skjellvik.ute"/>
    <s v="SKX.2.A"/>
    <n v="1"/>
    <n v="1378"/>
    <n v="57.35"/>
    <n v="1"/>
    <n v="2"/>
    <n v="0"/>
    <m/>
    <m/>
  </r>
  <r>
    <x v="2"/>
    <m/>
    <x v="7"/>
    <s v="NA"/>
    <s v="NA"/>
    <s v="NA"/>
    <n v="28"/>
    <n v="7"/>
    <n v="21"/>
    <n v="0.25"/>
    <n v="0.25"/>
    <n v="28"/>
    <n v="3"/>
    <m/>
    <n v="70"/>
    <m/>
    <m/>
    <m/>
    <m/>
    <m/>
    <m/>
    <m/>
    <m/>
    <m/>
    <m/>
    <m/>
    <m/>
    <m/>
    <s v="Skjellvik.ute"/>
    <s v="SKX.4.A"/>
    <n v="0.8214285714285714"/>
    <n v="719.96428571428567"/>
    <n v="59.45"/>
    <n v="1"/>
    <n v="2"/>
    <n v="0"/>
    <m/>
    <m/>
  </r>
  <r>
    <x v="2"/>
    <m/>
    <x v="7"/>
    <s v="NA"/>
    <s v="NA"/>
    <s v="NA"/>
    <n v="30"/>
    <n v="11"/>
    <n v="19"/>
    <n v="0.36666666666666664"/>
    <n v="0.25"/>
    <n v="30"/>
    <n v="3.75"/>
    <m/>
    <n v="90"/>
    <m/>
    <m/>
    <m/>
    <m/>
    <m/>
    <m/>
    <m/>
    <m/>
    <m/>
    <m/>
    <m/>
    <m/>
    <m/>
    <s v="Skjellvik.ute"/>
    <s v="SKX.5.A"/>
    <n v="0.46666666666666667"/>
    <n v="756.16666666666663"/>
    <n v="47.225000000000001"/>
    <n v="1"/>
    <n v="2"/>
    <n v="0"/>
    <m/>
    <m/>
  </r>
  <r>
    <x v="2"/>
    <m/>
    <x v="7"/>
    <s v="NA"/>
    <s v="NA"/>
    <s v="NA"/>
    <n v="35"/>
    <n v="7"/>
    <n v="28"/>
    <n v="0.2"/>
    <n v="0.25"/>
    <n v="35"/>
    <n v="7.25"/>
    <m/>
    <n v="90"/>
    <m/>
    <m/>
    <m/>
    <m/>
    <m/>
    <m/>
    <m/>
    <m/>
    <m/>
    <m/>
    <m/>
    <m/>
    <m/>
    <s v="Skjellvik.inne"/>
    <s v="SKX.9.A"/>
    <n v="0.45714285714285713"/>
    <n v="789.7714285714286"/>
    <n v="55.575000000000003"/>
    <n v="1"/>
    <n v="2"/>
    <n v="0"/>
    <m/>
    <m/>
  </r>
  <r>
    <x v="2"/>
    <m/>
    <x v="7"/>
    <s v="NA"/>
    <s v="NA"/>
    <s v="NA"/>
    <n v="11"/>
    <n v="1"/>
    <n v="10"/>
    <n v="9.0909090909090912E-2"/>
    <n v="0.25"/>
    <n v="11"/>
    <n v="10.25"/>
    <m/>
    <n v="95"/>
    <m/>
    <m/>
    <m/>
    <m/>
    <m/>
    <m/>
    <m/>
    <m/>
    <m/>
    <m/>
    <m/>
    <m/>
    <m/>
    <s v="Skjellvik.inne"/>
    <s v="SKY.1.A"/>
    <n v="0.54545454545454541"/>
    <n v="1074.4545454545455"/>
    <n v="60.5"/>
    <n v="1"/>
    <n v="2"/>
    <n v="0"/>
    <m/>
    <m/>
  </r>
  <r>
    <x v="2"/>
    <m/>
    <x v="7"/>
    <s v="NA"/>
    <s v="NA"/>
    <s v="NA"/>
    <n v="20"/>
    <n v="7"/>
    <n v="13"/>
    <n v="0.35"/>
    <n v="0.25"/>
    <n v="20"/>
    <n v="11.25"/>
    <m/>
    <n v="80"/>
    <m/>
    <m/>
    <m/>
    <m/>
    <m/>
    <m/>
    <m/>
    <m/>
    <m/>
    <m/>
    <m/>
    <m/>
    <m/>
    <s v="Skjellvik.inne"/>
    <s v="SKY.5.A"/>
    <s v="NA"/>
    <n v="1274.2777777777778"/>
    <n v="59.375"/>
    <n v="1"/>
    <n v="2"/>
    <n v="0"/>
    <m/>
    <m/>
  </r>
  <r>
    <x v="2"/>
    <m/>
    <x v="7"/>
    <s v="NA"/>
    <s v="NA"/>
    <s v="NA"/>
    <n v="31"/>
    <n v="8"/>
    <n v="23"/>
    <n v="0.25806451612903225"/>
    <n v="0.25"/>
    <n v="31"/>
    <n v="7.75"/>
    <m/>
    <n v="90"/>
    <m/>
    <m/>
    <m/>
    <m/>
    <m/>
    <m/>
    <m/>
    <m/>
    <m/>
    <m/>
    <m/>
    <m/>
    <m/>
    <s v="Skjellvik.inne"/>
    <s v="SKY.6.A"/>
    <s v="NA"/>
    <n v="1785.5483870967741"/>
    <n v="56.1"/>
    <n v="1"/>
    <n v="2"/>
    <n v="0"/>
    <m/>
    <m/>
  </r>
  <r>
    <x v="2"/>
    <m/>
    <x v="7"/>
    <s v="NA"/>
    <s v="NA"/>
    <s v="NA"/>
    <n v="96"/>
    <n v="12"/>
    <n v="84"/>
    <n v="0.125"/>
    <n v="0.140625"/>
    <n v="170.66666666666666"/>
    <n v="6"/>
    <m/>
    <n v="95"/>
    <m/>
    <m/>
    <m/>
    <m/>
    <m/>
    <m/>
    <m/>
    <m/>
    <m/>
    <m/>
    <m/>
    <m/>
    <m/>
    <m/>
    <s v="SKY.8.A"/>
    <s v="NA"/>
    <n v="589.79166666666663"/>
    <n v="59.325000000000003"/>
    <n v="1"/>
    <n v="2"/>
    <n v="0"/>
    <m/>
    <m/>
  </r>
  <r>
    <x v="2"/>
    <s v="SKJ1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X.1.A"/>
    <n v="0.81818181818181823"/>
    <s v="NA"/>
    <s v="NA"/>
    <n v="1"/>
    <n v="2"/>
    <n v="0"/>
    <m/>
    <m/>
  </r>
  <r>
    <x v="2"/>
    <s v="SKJ10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Y.7.A"/>
    <s v="NA"/>
    <s v="NA"/>
    <s v="NA"/>
    <n v="1"/>
    <n v="2"/>
    <n v="0"/>
    <m/>
    <m/>
  </r>
  <r>
    <x v="2"/>
    <s v="SKJ11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Y.10.A"/>
    <s v="NA"/>
    <s v="NA"/>
    <s v="NA"/>
    <n v="1"/>
    <n v="2"/>
    <n v="0"/>
    <m/>
    <m/>
  </r>
  <r>
    <x v="2"/>
    <s v="SKJ12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Y.9.A"/>
    <s v="NA"/>
    <s v="NA"/>
    <s v="NA"/>
    <n v="1"/>
    <n v="2"/>
    <n v="0"/>
    <m/>
    <m/>
  </r>
  <r>
    <x v="2"/>
    <s v="SKJ2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X.10.A"/>
    <s v="NA"/>
    <s v="NA"/>
    <s v="NA"/>
    <n v="1"/>
    <n v="2"/>
    <n v="0"/>
    <m/>
    <m/>
  </r>
  <r>
    <x v="2"/>
    <s v="SKJ3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X.3.A"/>
    <s v="NA"/>
    <s v="NA"/>
    <s v="NA"/>
    <n v="1"/>
    <n v="2"/>
    <n v="0"/>
    <m/>
    <m/>
  </r>
  <r>
    <x v="2"/>
    <s v="SKJ4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X.6.A"/>
    <s v="NA"/>
    <s v="NA"/>
    <s v="NA"/>
    <n v="1"/>
    <n v="2"/>
    <n v="0"/>
    <m/>
    <m/>
  </r>
  <r>
    <x v="2"/>
    <s v="SKJ5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X.7.A"/>
    <s v="NA"/>
    <s v="NA"/>
    <s v="NA"/>
    <n v="1"/>
    <n v="2"/>
    <n v="0"/>
    <m/>
    <m/>
  </r>
  <r>
    <x v="2"/>
    <s v="SKJ6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X.8.A"/>
    <s v="NA"/>
    <s v="NA"/>
    <s v="NA"/>
    <n v="1"/>
    <n v="2"/>
    <n v="0"/>
    <m/>
    <m/>
  </r>
  <r>
    <x v="2"/>
    <s v="SKJ7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Y.2.A"/>
    <s v="NA"/>
    <s v="NA"/>
    <s v="NA"/>
    <n v="1"/>
    <n v="2"/>
    <n v="0"/>
    <m/>
    <m/>
  </r>
  <r>
    <x v="2"/>
    <s v="SKJ8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Y.3.A"/>
    <s v="NA"/>
    <s v="NA"/>
    <s v="NA"/>
    <n v="1"/>
    <n v="2"/>
    <n v="0"/>
    <m/>
    <m/>
  </r>
  <r>
    <x v="2"/>
    <s v="SKJ9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Y.4.A"/>
    <s v="NA"/>
    <s v="NA"/>
    <s v="NA"/>
    <n v="1"/>
    <n v="2"/>
    <n v="0"/>
    <m/>
    <m/>
  </r>
  <r>
    <x v="2"/>
    <m/>
    <x v="8"/>
    <s v="NA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ute"/>
    <s v="SKX.2.A"/>
    <s v="NA"/>
    <s v="NA"/>
    <s v="NA"/>
    <n v="1"/>
    <n v="2"/>
    <n v="0"/>
    <m/>
    <m/>
  </r>
  <r>
    <x v="2"/>
    <m/>
    <x v="8"/>
    <s v="NA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ute"/>
    <s v="SKX.4.A"/>
    <s v="NA"/>
    <s v="NA"/>
    <s v="NA"/>
    <n v="1"/>
    <n v="2"/>
    <n v="0"/>
    <m/>
    <m/>
  </r>
  <r>
    <x v="2"/>
    <m/>
    <x v="8"/>
    <s v="NA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ute"/>
    <s v="SKX.5.A"/>
    <s v="NA"/>
    <s v="NA"/>
    <s v="NA"/>
    <n v="1"/>
    <n v="2"/>
    <n v="0"/>
    <m/>
    <m/>
  </r>
  <r>
    <x v="2"/>
    <m/>
    <x v="8"/>
    <s v="NA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X.9.A"/>
    <s v="NA"/>
    <s v="NA"/>
    <s v="NA"/>
    <n v="1"/>
    <n v="2"/>
    <n v="0"/>
    <m/>
    <m/>
  </r>
  <r>
    <x v="2"/>
    <m/>
    <x v="8"/>
    <s v="NA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Y.1.A"/>
    <s v="NA"/>
    <s v="NA"/>
    <s v="NA"/>
    <n v="1"/>
    <n v="2"/>
    <n v="0"/>
    <m/>
    <m/>
  </r>
  <r>
    <x v="2"/>
    <m/>
    <x v="8"/>
    <s v="NA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Y.5.A"/>
    <s v="NA"/>
    <s v="NA"/>
    <s v="NA"/>
    <n v="1"/>
    <n v="2"/>
    <n v="0"/>
    <m/>
    <m/>
  </r>
  <r>
    <x v="2"/>
    <m/>
    <x v="8"/>
    <s v="NA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s v="Skjellvik.inne"/>
    <s v="SKY.6.A"/>
    <s v="NA"/>
    <s v="NA"/>
    <s v="NA"/>
    <n v="1"/>
    <n v="2"/>
    <n v="0"/>
    <m/>
    <m/>
  </r>
  <r>
    <x v="2"/>
    <m/>
    <x v="8"/>
    <s v="NA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SKY.8.A"/>
    <s v="NA"/>
    <s v="NA"/>
    <s v="NA"/>
    <n v="1"/>
    <n v="2"/>
    <n v="0"/>
    <m/>
    <m/>
  </r>
  <r>
    <x v="2"/>
    <s v="SKJ1"/>
    <x v="9"/>
    <n v="1"/>
    <s v="NA"/>
    <s v="NA"/>
    <n v="9"/>
    <n v="0"/>
    <n v="9"/>
    <n v="0"/>
    <n v="0.25"/>
    <n v="9"/>
    <n v="5.75"/>
    <m/>
    <n v="60"/>
    <n v="70"/>
    <m/>
    <m/>
    <m/>
    <m/>
    <m/>
    <m/>
    <m/>
    <m/>
    <m/>
    <m/>
    <m/>
    <m/>
    <s v="Skjellvik.inne"/>
    <s v="SKX.1.A"/>
    <s v="NA"/>
    <s v="NA"/>
    <s v="NA"/>
    <n v="1"/>
    <n v="2"/>
    <n v="0"/>
    <d v="2019-06-07T00:00:00"/>
    <n v="1"/>
  </r>
  <r>
    <x v="2"/>
    <s v="SKJ10"/>
    <x v="9"/>
    <n v="1"/>
    <s v="NA"/>
    <s v="NA"/>
    <n v="6"/>
    <n v="0"/>
    <n v="6"/>
    <n v="0"/>
    <n v="0.25"/>
    <n v="6"/>
    <n v="7"/>
    <m/>
    <n v="90"/>
    <n v="20"/>
    <m/>
    <m/>
    <m/>
    <m/>
    <m/>
    <m/>
    <m/>
    <m/>
    <m/>
    <m/>
    <m/>
    <m/>
    <m/>
    <s v="SKY.7.A"/>
    <n v="1.5"/>
    <s v="NA"/>
    <s v="NA"/>
    <n v="1"/>
    <n v="2"/>
    <n v="0"/>
    <d v="2019-06-21T00:00:00"/>
    <n v="5"/>
  </r>
  <r>
    <x v="2"/>
    <s v="SKJ11"/>
    <x v="9"/>
    <n v="1"/>
    <s v="NA"/>
    <s v="NA"/>
    <n v="3"/>
    <n v="0"/>
    <n v="3"/>
    <n v="0"/>
    <n v="0.25"/>
    <n v="3"/>
    <n v="12.25"/>
    <m/>
    <n v="75"/>
    <n v="60"/>
    <m/>
    <m/>
    <m/>
    <s v="Bukkebeinurt"/>
    <n v="3"/>
    <m/>
    <m/>
    <m/>
    <m/>
    <m/>
    <m/>
    <m/>
    <s v="Skjellvik.inne"/>
    <s v="SKY.10.A"/>
    <n v="4"/>
    <s v="NA"/>
    <m/>
    <n v="1"/>
    <n v="2"/>
    <n v="0"/>
    <d v="2019-06-21T00:00:00"/>
    <n v="3"/>
  </r>
  <r>
    <x v="2"/>
    <s v="SKJ12"/>
    <x v="9"/>
    <n v="1"/>
    <s v="NA"/>
    <s v="NA"/>
    <n v="20"/>
    <n v="6"/>
    <n v="14"/>
    <n v="0.3"/>
    <n v="0.25"/>
    <n v="20"/>
    <n v="10"/>
    <m/>
    <n v="95"/>
    <n v="5"/>
    <m/>
    <m/>
    <m/>
    <m/>
    <m/>
    <m/>
    <m/>
    <m/>
    <m/>
    <m/>
    <m/>
    <m/>
    <s v="Skjellvik.inne"/>
    <s v="SKY.9.A"/>
    <n v="0.75"/>
    <s v="NA"/>
    <m/>
    <n v="1"/>
    <n v="2"/>
    <n v="0"/>
    <d v="2019-06-21T00:00:00"/>
    <n v="4"/>
  </r>
  <r>
    <x v="2"/>
    <s v="SKJ2"/>
    <x v="9"/>
    <n v="1"/>
    <s v="NA"/>
    <s v="NA"/>
    <n v="1"/>
    <n v="1"/>
    <n v="0"/>
    <n v="1"/>
    <n v="0.25"/>
    <n v="1"/>
    <n v="7.75"/>
    <m/>
    <n v="50"/>
    <n v="50"/>
    <m/>
    <n v="5"/>
    <s v="Mjødurt"/>
    <m/>
    <m/>
    <m/>
    <m/>
    <m/>
    <m/>
    <m/>
    <m/>
    <m/>
    <s v="Skjellvik.inne"/>
    <s v="SKX.10.A"/>
    <n v="1"/>
    <s v="NA"/>
    <s v="NA"/>
    <n v="1"/>
    <n v="2"/>
    <n v="0"/>
    <d v="2019-06-07T00:00:00"/>
    <n v="10"/>
  </r>
  <r>
    <x v="2"/>
    <s v="SKJ3"/>
    <x v="9"/>
    <n v="1"/>
    <s v="NA"/>
    <s v="NA"/>
    <n v="36"/>
    <n v="10"/>
    <n v="26"/>
    <n v="0.27777777777777779"/>
    <n v="0.25"/>
    <n v="36"/>
    <n v="8"/>
    <m/>
    <n v="60"/>
    <n v="40"/>
    <m/>
    <m/>
    <m/>
    <m/>
    <m/>
    <m/>
    <m/>
    <m/>
    <m/>
    <m/>
    <m/>
    <m/>
    <s v="Skjellvik.inne"/>
    <s v="SKX.3.A"/>
    <s v="NA"/>
    <s v="NA"/>
    <s v="NA"/>
    <n v="1"/>
    <n v="2"/>
    <n v="0"/>
    <d v="2019-06-07T00:00:00"/>
    <n v="9"/>
  </r>
  <r>
    <x v="2"/>
    <s v="SKJ4"/>
    <x v="9"/>
    <n v="1"/>
    <s v="NA"/>
    <s v="NA"/>
    <n v="40"/>
    <n v="16"/>
    <n v="24"/>
    <n v="0.4"/>
    <n v="0.25"/>
    <n v="40"/>
    <n v="11.75"/>
    <m/>
    <n v="80"/>
    <n v="20"/>
    <m/>
    <m/>
    <m/>
    <m/>
    <m/>
    <m/>
    <m/>
    <m/>
    <m/>
    <m/>
    <m/>
    <m/>
    <s v="Skjellvik.inne"/>
    <s v="SKX.6.A"/>
    <n v="1.2749999999999999"/>
    <s v="NA"/>
    <s v="NA"/>
    <n v="1"/>
    <n v="2"/>
    <n v="0"/>
    <d v="2019-06-07T00:00:00"/>
    <n v="7"/>
  </r>
  <r>
    <x v="2"/>
    <s v="SKJ5"/>
    <x v="9"/>
    <n v="1"/>
    <s v="NA"/>
    <s v="NA"/>
    <n v="12"/>
    <n v="3"/>
    <n v="9"/>
    <n v="0.25"/>
    <n v="0.25"/>
    <n v="12"/>
    <n v="12"/>
    <m/>
    <n v="80"/>
    <n v="10"/>
    <m/>
    <m/>
    <m/>
    <m/>
    <m/>
    <m/>
    <m/>
    <m/>
    <m/>
    <m/>
    <m/>
    <m/>
    <s v="Skjellvik.inne"/>
    <s v="SKX.7.A"/>
    <n v="2"/>
    <s v="NA"/>
    <s v="NA"/>
    <n v="1"/>
    <n v="2"/>
    <n v="0"/>
    <d v="2019-06-07T00:00:00"/>
    <n v="5"/>
  </r>
  <r>
    <x v="2"/>
    <s v="SKJ6"/>
    <x v="9"/>
    <n v="1"/>
    <s v="NA"/>
    <s v="NA"/>
    <n v="25"/>
    <n v="11"/>
    <n v="14"/>
    <n v="0.44"/>
    <n v="0.25"/>
    <n v="25"/>
    <n v="14"/>
    <m/>
    <n v="90"/>
    <n v="30"/>
    <m/>
    <m/>
    <m/>
    <m/>
    <m/>
    <m/>
    <m/>
    <m/>
    <m/>
    <m/>
    <m/>
    <m/>
    <s v="Skjellvik.inne"/>
    <s v="SKX.8.A"/>
    <n v="1.44"/>
    <s v="NA"/>
    <s v="NA"/>
    <n v="1"/>
    <n v="2"/>
    <n v="0"/>
    <d v="2019-06-07T00:00:00"/>
    <n v="11"/>
  </r>
  <r>
    <x v="2"/>
    <s v="SKJ7"/>
    <x v="9"/>
    <n v="1"/>
    <s v="NA"/>
    <s v="NA"/>
    <n v="2"/>
    <n v="0"/>
    <n v="2"/>
    <n v="0"/>
    <n v="0.25"/>
    <n v="2"/>
    <n v="10"/>
    <m/>
    <n v="60"/>
    <n v="40"/>
    <m/>
    <m/>
    <m/>
    <m/>
    <m/>
    <m/>
    <m/>
    <m/>
    <m/>
    <m/>
    <m/>
    <m/>
    <s v="Skjellvik.inne"/>
    <s v="SKY.2.A"/>
    <n v="2"/>
    <s v="NA"/>
    <s v="NA"/>
    <n v="1"/>
    <n v="2"/>
    <n v="0"/>
    <d v="2019-06-07T00:00:00"/>
    <n v="3"/>
  </r>
  <r>
    <x v="2"/>
    <s v="SKJ8"/>
    <x v="9"/>
    <n v="1"/>
    <s v="NA"/>
    <s v="NA"/>
    <n v="1"/>
    <n v="0"/>
    <n v="1"/>
    <n v="0"/>
    <n v="0.25"/>
    <n v="1"/>
    <n v="13.5"/>
    <m/>
    <n v="95"/>
    <n v="25"/>
    <m/>
    <m/>
    <m/>
    <m/>
    <m/>
    <m/>
    <m/>
    <m/>
    <m/>
    <m/>
    <m/>
    <m/>
    <s v="Skjellvik.inne"/>
    <s v="SKY.3.A"/>
    <s v="NA"/>
    <s v="NA"/>
    <s v="NA"/>
    <n v="1"/>
    <n v="2"/>
    <n v="0"/>
    <d v="2019-06-21T00:00:00"/>
    <n v="1"/>
  </r>
  <r>
    <x v="2"/>
    <s v="SKJ9"/>
    <x v="9"/>
    <n v="1"/>
    <s v="NA"/>
    <s v="NA"/>
    <n v="3"/>
    <n v="0"/>
    <n v="3"/>
    <n v="0"/>
    <n v="0.25"/>
    <n v="3"/>
    <n v="12.5"/>
    <m/>
    <n v="80"/>
    <n v="5"/>
    <m/>
    <m/>
    <m/>
    <m/>
    <m/>
    <m/>
    <m/>
    <m/>
    <m/>
    <m/>
    <m/>
    <m/>
    <s v="Skjellvik.inne"/>
    <s v="SKY.4.A"/>
    <n v="3"/>
    <s v="NA"/>
    <s v="NA"/>
    <n v="1"/>
    <n v="2"/>
    <n v="0"/>
    <d v="2019-06-21T00:00:00"/>
    <n v="2"/>
  </r>
  <r>
    <x v="2"/>
    <m/>
    <x v="9"/>
    <s v="NA"/>
    <s v="NA"/>
    <s v="NA"/>
    <n v="1"/>
    <n v="1"/>
    <n v="0"/>
    <n v="1"/>
    <n v="0.25"/>
    <n v="1"/>
    <n v="7.25"/>
    <m/>
    <n v="80"/>
    <n v="30"/>
    <m/>
    <m/>
    <m/>
    <m/>
    <m/>
    <m/>
    <m/>
    <m/>
    <m/>
    <m/>
    <m/>
    <m/>
    <s v="Skjellvik.ute"/>
    <s v="SKX.2.A"/>
    <s v="NA"/>
    <s v="NA"/>
    <s v="NA"/>
    <n v="1"/>
    <n v="2"/>
    <n v="0"/>
    <d v="2019-06-07T00:00:00"/>
    <n v="2"/>
  </r>
  <r>
    <x v="2"/>
    <m/>
    <x v="9"/>
    <s v="NA"/>
    <s v="NA"/>
    <s v="NA"/>
    <n v="23"/>
    <n v="8"/>
    <n v="15"/>
    <n v="0.34782608695652173"/>
    <n v="0.25"/>
    <n v="23"/>
    <n v="8.75"/>
    <m/>
    <n v="80"/>
    <n v="25"/>
    <m/>
    <m/>
    <m/>
    <m/>
    <m/>
    <m/>
    <m/>
    <m/>
    <m/>
    <m/>
    <m/>
    <m/>
    <s v="Skjellvik.ute"/>
    <s v="SKX.4.A"/>
    <n v="1.9565217391304348"/>
    <s v="NA"/>
    <s v="NA"/>
    <n v="1"/>
    <n v="2"/>
    <n v="0"/>
    <d v="2019-06-07T00:00:00"/>
    <n v="6"/>
  </r>
  <r>
    <x v="2"/>
    <m/>
    <x v="9"/>
    <s v="NA"/>
    <s v="NA"/>
    <s v="NA"/>
    <n v="14"/>
    <n v="2"/>
    <n v="12"/>
    <n v="0.14285714285714285"/>
    <n v="0.25"/>
    <n v="14"/>
    <n v="14.25"/>
    <m/>
    <n v="60"/>
    <n v="50"/>
    <m/>
    <m/>
    <m/>
    <m/>
    <m/>
    <m/>
    <m/>
    <m/>
    <m/>
    <m/>
    <m/>
    <m/>
    <s v="Skjellvik.ute"/>
    <s v="SKX.5.A"/>
    <n v="0.9285714285714286"/>
    <s v="NA"/>
    <s v="NA"/>
    <n v="1"/>
    <n v="2"/>
    <n v="0"/>
    <d v="2019-06-07T00:00:00"/>
    <n v="4"/>
  </r>
  <r>
    <x v="2"/>
    <m/>
    <x v="9"/>
    <s v="NA"/>
    <s v="NA"/>
    <s v="NA"/>
    <n v="16"/>
    <n v="3"/>
    <n v="13"/>
    <n v="0.1875"/>
    <n v="0.25"/>
    <n v="16"/>
    <n v="14"/>
    <m/>
    <n v="85"/>
    <n v="20"/>
    <m/>
    <m/>
    <m/>
    <m/>
    <m/>
    <m/>
    <m/>
    <m/>
    <m/>
    <m/>
    <m/>
    <m/>
    <s v="Skjellvik.inne"/>
    <s v="SKX.9.A"/>
    <n v="1.875"/>
    <s v="NA"/>
    <s v="NA"/>
    <n v="1"/>
    <n v="2"/>
    <n v="0"/>
    <d v="2019-06-07T00:00:00"/>
    <n v="8"/>
  </r>
  <r>
    <x v="2"/>
    <m/>
    <x v="9"/>
    <s v="NA"/>
    <s v="NA"/>
    <s v="NA"/>
    <n v="6"/>
    <n v="2"/>
    <n v="4"/>
    <n v="0.33333333333333331"/>
    <n v="0.25"/>
    <n v="6"/>
    <n v="8.25"/>
    <m/>
    <n v="65"/>
    <n v="40"/>
    <m/>
    <m/>
    <m/>
    <m/>
    <m/>
    <m/>
    <m/>
    <m/>
    <m/>
    <m/>
    <m/>
    <m/>
    <s v="Skjellvik.inne"/>
    <s v="SKY.1.A"/>
    <n v="0.83333333333333337"/>
    <s v="NA"/>
    <s v="NA"/>
    <n v="1"/>
    <n v="2"/>
    <n v="0"/>
    <d v="2019-06-07T00:00:00"/>
    <n v="12"/>
  </r>
  <r>
    <x v="2"/>
    <m/>
    <x v="9"/>
    <s v="NA"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s v="Skjellvik.inne"/>
    <s v="SKY.5.A"/>
    <s v="NA"/>
    <m/>
    <m/>
    <n v="1"/>
    <n v="2"/>
    <n v="0"/>
    <m/>
    <m/>
  </r>
  <r>
    <x v="2"/>
    <m/>
    <x v="9"/>
    <s v="NA"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m/>
    <s v="SKY.6.A"/>
    <s v="NA"/>
    <m/>
    <m/>
    <n v="1"/>
    <n v="2"/>
    <n v="0"/>
    <m/>
    <m/>
  </r>
  <r>
    <x v="2"/>
    <m/>
    <x v="9"/>
    <s v="NA"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m/>
    <s v="SKY.8.A"/>
    <s v="NA"/>
    <m/>
    <m/>
    <n v="1"/>
    <n v="2"/>
    <n v="0"/>
    <m/>
    <m/>
  </r>
  <r>
    <x v="2"/>
    <s v="SKJ1"/>
    <x v="0"/>
    <n v="1"/>
    <s v="NA"/>
    <s v="NA"/>
    <n v="0"/>
    <n v="0"/>
    <n v="0"/>
    <s v="NA"/>
    <n v="0.25"/>
    <n v="0"/>
    <n v="8"/>
    <m/>
    <n v="90"/>
    <n v="80"/>
    <m/>
    <m/>
    <m/>
    <m/>
    <m/>
    <m/>
    <m/>
    <m/>
    <m/>
    <m/>
    <m/>
    <m/>
    <s v="Skjellvik.inne"/>
    <s v="SKX.1.A"/>
    <s v="NA"/>
    <s v="NA"/>
    <m/>
    <n v="1"/>
    <n v="2"/>
    <n v="0"/>
    <s v="08.06.2020/09.06.2020"/>
    <m/>
  </r>
  <r>
    <x v="2"/>
    <s v="SKJ10"/>
    <x v="0"/>
    <n v="1"/>
    <s v="NA"/>
    <s v="NA"/>
    <n v="9"/>
    <n v="0"/>
    <n v="9"/>
    <n v="0"/>
    <n v="0.25"/>
    <n v="9"/>
    <n v="17.5"/>
    <m/>
    <n v="100"/>
    <n v="10"/>
    <m/>
    <n v="10"/>
    <s v="Pors"/>
    <m/>
    <m/>
    <m/>
    <m/>
    <m/>
    <m/>
    <m/>
    <m/>
    <m/>
    <s v="Skjellvik.inne"/>
    <s v="SKY.7.A"/>
    <s v="NA"/>
    <s v="NA"/>
    <m/>
    <n v="1"/>
    <n v="2"/>
    <n v="0"/>
    <s v="08.06.2020/09.06.2020"/>
    <m/>
  </r>
  <r>
    <x v="2"/>
    <s v="SKJ11"/>
    <x v="0"/>
    <n v="1"/>
    <s v="NA"/>
    <s v="NA"/>
    <n v="12"/>
    <n v="1"/>
    <n v="11"/>
    <n v="8.3333333333333329E-2"/>
    <n v="0.25"/>
    <n v="12"/>
    <s v="NA"/>
    <m/>
    <n v="100"/>
    <n v="20"/>
    <m/>
    <n v="3"/>
    <s v="Vedplanter"/>
    <s v="Bukkebeinurt"/>
    <m/>
    <m/>
    <m/>
    <m/>
    <m/>
    <m/>
    <m/>
    <m/>
    <s v="Skjellvik.inne"/>
    <s v="SKY.10.A"/>
    <s v="NA"/>
    <s v="NA"/>
    <m/>
    <n v="1"/>
    <n v="2"/>
    <n v="0"/>
    <s v="08.06.2020/09.06.2020"/>
    <m/>
  </r>
  <r>
    <x v="2"/>
    <s v="SKJ12"/>
    <x v="0"/>
    <n v="1"/>
    <s v="NA"/>
    <s v="NA"/>
    <n v="15"/>
    <n v="0"/>
    <n v="15"/>
    <n v="0"/>
    <n v="0.25"/>
    <n v="15"/>
    <n v="26.5"/>
    <m/>
    <n v="100"/>
    <n v="0"/>
    <m/>
    <n v="2.5"/>
    <s v="Pors"/>
    <m/>
    <m/>
    <m/>
    <m/>
    <m/>
    <m/>
    <m/>
    <m/>
    <m/>
    <s v="Skjellvik.inne"/>
    <s v="SKY.9.A"/>
    <s v="NA"/>
    <s v="NA"/>
    <m/>
    <n v="1"/>
    <n v="2"/>
    <n v="0"/>
    <s v="08.06.2020/09.06.2020"/>
    <m/>
  </r>
  <r>
    <x v="2"/>
    <s v="SKJ2"/>
    <x v="0"/>
    <n v="1"/>
    <s v="NA"/>
    <s v="NA"/>
    <n v="1"/>
    <n v="0"/>
    <n v="1"/>
    <n v="0"/>
    <n v="0.25"/>
    <n v="1"/>
    <n v="11"/>
    <m/>
    <n v="90"/>
    <n v="40"/>
    <m/>
    <m/>
    <m/>
    <m/>
    <m/>
    <m/>
    <m/>
    <m/>
    <m/>
    <m/>
    <m/>
    <m/>
    <s v="Skjellvik.inne"/>
    <s v="SKX.10.A"/>
    <s v="NA"/>
    <s v="NA"/>
    <m/>
    <n v="1"/>
    <n v="2"/>
    <n v="0"/>
    <s v="08.06.2020/09.06.2020"/>
    <m/>
  </r>
  <r>
    <x v="2"/>
    <s v="SKJ3"/>
    <x v="0"/>
    <n v="1"/>
    <s v="NA"/>
    <s v="NA"/>
    <s v="NA"/>
    <s v="NA"/>
    <s v="NA"/>
    <s v="NA"/>
    <n v="0.25"/>
    <s v="NA"/>
    <s v="NA"/>
    <m/>
    <s v="NA"/>
    <s v="NA"/>
    <m/>
    <m/>
    <m/>
    <m/>
    <m/>
    <m/>
    <m/>
    <m/>
    <m/>
    <m/>
    <m/>
    <m/>
    <s v="Skjellvik.inne"/>
    <s v="SKX.3.A"/>
    <s v="NA"/>
    <s v="NA"/>
    <m/>
    <n v="1"/>
    <n v="2"/>
    <n v="0"/>
    <s v="08.06.2020/09.06.2020"/>
    <m/>
  </r>
  <r>
    <x v="2"/>
    <s v="SKJ4"/>
    <x v="0"/>
    <n v="1"/>
    <s v="NA"/>
    <s v="NA"/>
    <n v="51"/>
    <n v="10"/>
    <n v="41"/>
    <n v="0.19607843137254902"/>
    <n v="0.25"/>
    <n v="51"/>
    <n v="18.25"/>
    <m/>
    <n v="90"/>
    <n v="0"/>
    <m/>
    <m/>
    <m/>
    <m/>
    <m/>
    <m/>
    <m/>
    <m/>
    <m/>
    <m/>
    <m/>
    <m/>
    <s v="Skjellvik.inne"/>
    <s v="SKX.6.A"/>
    <s v="NA"/>
    <s v="NA"/>
    <m/>
    <n v="1"/>
    <n v="2"/>
    <n v="0"/>
    <s v="08.06.2020/09.06.2020"/>
    <m/>
  </r>
  <r>
    <x v="2"/>
    <s v="SKJ5"/>
    <x v="0"/>
    <n v="1"/>
    <s v="NA"/>
    <s v="NA"/>
    <n v="24"/>
    <n v="14"/>
    <n v="10"/>
    <n v="0.58333333333333337"/>
    <n v="0.25"/>
    <n v="24"/>
    <n v="25.5"/>
    <m/>
    <n v="95"/>
    <n v="0"/>
    <m/>
    <m/>
    <m/>
    <m/>
    <m/>
    <m/>
    <m/>
    <m/>
    <m/>
    <m/>
    <m/>
    <m/>
    <s v="Skjellvik.inne"/>
    <s v="SKX.7.A"/>
    <s v="NA"/>
    <s v="NA"/>
    <m/>
    <n v="1"/>
    <n v="2"/>
    <n v="0"/>
    <s v="08.06.2020/09.06.2020"/>
    <m/>
  </r>
  <r>
    <x v="2"/>
    <s v="SKJ6"/>
    <x v="0"/>
    <n v="1"/>
    <s v="NA"/>
    <s v="NA"/>
    <n v="36"/>
    <n v="18"/>
    <n v="18"/>
    <n v="0.5"/>
    <n v="0.25"/>
    <n v="36"/>
    <n v="21.75"/>
    <m/>
    <n v="95"/>
    <n v="0"/>
    <m/>
    <m/>
    <m/>
    <m/>
    <m/>
    <m/>
    <m/>
    <m/>
    <m/>
    <m/>
    <m/>
    <m/>
    <s v="Skjellvik.inne"/>
    <s v="SKX.8.A"/>
    <s v="NA"/>
    <s v="NA"/>
    <m/>
    <n v="1"/>
    <n v="2"/>
    <n v="0"/>
    <s v="08.06.2020/09.06.2020"/>
    <m/>
  </r>
  <r>
    <x v="2"/>
    <s v="SKJ7"/>
    <x v="0"/>
    <n v="1"/>
    <s v="NA"/>
    <s v="NA"/>
    <n v="4"/>
    <n v="1"/>
    <n v="3"/>
    <n v="0.25"/>
    <n v="0.25"/>
    <n v="4"/>
    <n v="13.75"/>
    <m/>
    <n v="90"/>
    <n v="30"/>
    <m/>
    <m/>
    <m/>
    <m/>
    <m/>
    <m/>
    <m/>
    <m/>
    <m/>
    <m/>
    <m/>
    <m/>
    <s v="Skjellvik.inne"/>
    <s v="SKY.2.A"/>
    <s v="NA"/>
    <s v="NA"/>
    <m/>
    <n v="1"/>
    <n v="2"/>
    <n v="0"/>
    <s v="08.06.2020/09.06.2020"/>
    <m/>
  </r>
  <r>
    <x v="2"/>
    <s v="SKJ8"/>
    <x v="0"/>
    <n v="1"/>
    <s v="NA"/>
    <s v="NA"/>
    <n v="0"/>
    <n v="0"/>
    <n v="0"/>
    <s v="NA"/>
    <n v="0.25"/>
    <n v="0"/>
    <n v="16.75"/>
    <m/>
    <n v="90"/>
    <n v="80"/>
    <m/>
    <n v="10"/>
    <s v="Pors"/>
    <m/>
    <m/>
    <m/>
    <m/>
    <m/>
    <m/>
    <m/>
    <m/>
    <m/>
    <s v="Skjellvik.inne"/>
    <s v="SKY.3.A"/>
    <s v="NA"/>
    <s v="NA"/>
    <m/>
    <n v="1"/>
    <n v="2"/>
    <n v="0"/>
    <s v="08.06.2020/09.06.2020"/>
    <m/>
  </r>
  <r>
    <x v="2"/>
    <s v="SKJ9"/>
    <x v="0"/>
    <n v="1"/>
    <s v="NA"/>
    <s v="NA"/>
    <n v="9"/>
    <n v="3"/>
    <n v="6"/>
    <n v="0.33333333333333331"/>
    <n v="0.25"/>
    <n v="9"/>
    <n v="18"/>
    <m/>
    <n v="100"/>
    <n v="0"/>
    <m/>
    <m/>
    <m/>
    <s v="Bukkebeinurt"/>
    <m/>
    <m/>
    <m/>
    <m/>
    <m/>
    <m/>
    <m/>
    <m/>
    <s v="Skjellvik.inne"/>
    <s v="SKY.4.A"/>
    <s v="NA"/>
    <s v="NA"/>
    <m/>
    <n v="1"/>
    <n v="2"/>
    <n v="0"/>
    <s v="08.06.2020/09.06.2020"/>
    <m/>
  </r>
  <r>
    <x v="2"/>
    <m/>
    <x v="0"/>
    <s v="NA"/>
    <s v="NA"/>
    <s v="NA"/>
    <s v="NA"/>
    <s v="NA"/>
    <s v="NA"/>
    <s v="NA"/>
    <n v="0.25"/>
    <s v="NA"/>
    <s v="NA"/>
    <m/>
    <s v="NA"/>
    <s v="NA"/>
    <m/>
    <m/>
    <m/>
    <m/>
    <m/>
    <m/>
    <m/>
    <m/>
    <m/>
    <m/>
    <m/>
    <m/>
    <s v="Skjellvik.ute"/>
    <s v="SKX.2.A"/>
    <s v="NA"/>
    <s v="NA"/>
    <m/>
    <n v="1"/>
    <n v="2"/>
    <n v="0"/>
    <s v="08.06.2020/09.06.2020"/>
    <m/>
  </r>
  <r>
    <x v="2"/>
    <m/>
    <x v="0"/>
    <s v="NA"/>
    <s v="NA"/>
    <s v="NA"/>
    <n v="45"/>
    <n v="17"/>
    <n v="28"/>
    <n v="0.37777777777777777"/>
    <n v="0.25"/>
    <n v="45"/>
    <n v="9.5"/>
    <m/>
    <n v="90"/>
    <n v="20"/>
    <m/>
    <m/>
    <m/>
    <m/>
    <m/>
    <m/>
    <m/>
    <m/>
    <m/>
    <m/>
    <m/>
    <m/>
    <s v="Skjellvik.ute"/>
    <s v="SKX.4.A"/>
    <s v="NA"/>
    <s v="NA"/>
    <m/>
    <n v="1"/>
    <n v="2"/>
    <n v="0"/>
    <s v="08.06.2020/09.06.2020"/>
    <m/>
  </r>
  <r>
    <x v="2"/>
    <m/>
    <x v="0"/>
    <s v="NA"/>
    <s v="NA"/>
    <s v="NA"/>
    <n v="13"/>
    <n v="3"/>
    <n v="10"/>
    <n v="0.23076923076923078"/>
    <n v="0.25"/>
    <n v="13"/>
    <n v="20.5"/>
    <m/>
    <n v="90"/>
    <n v="20"/>
    <m/>
    <m/>
    <m/>
    <m/>
    <m/>
    <m/>
    <m/>
    <m/>
    <m/>
    <m/>
    <m/>
    <m/>
    <s v="Skjellvik.ute"/>
    <s v="SKX.5.A"/>
    <s v="NA"/>
    <s v="NA"/>
    <m/>
    <n v="1"/>
    <n v="2"/>
    <n v="0"/>
    <s v="08.06.2020/09.06.2020"/>
    <m/>
  </r>
  <r>
    <x v="2"/>
    <m/>
    <x v="0"/>
    <s v="NA"/>
    <s v="NA"/>
    <s v="NA"/>
    <n v="30"/>
    <n v="4"/>
    <n v="26"/>
    <n v="0.13333333333333333"/>
    <n v="0.25"/>
    <n v="30"/>
    <n v="25"/>
    <m/>
    <n v="95"/>
    <n v="0"/>
    <m/>
    <m/>
    <m/>
    <m/>
    <m/>
    <m/>
    <m/>
    <m/>
    <m/>
    <m/>
    <m/>
    <m/>
    <s v="Skjellvik.inne"/>
    <s v="SKX.9.A"/>
    <s v="NA"/>
    <s v="NA"/>
    <m/>
    <n v="1"/>
    <n v="2"/>
    <n v="0"/>
    <s v="08.06.2020/09.06.2020"/>
    <m/>
  </r>
  <r>
    <x v="2"/>
    <m/>
    <x v="0"/>
    <s v="NA"/>
    <s v="NA"/>
    <s v="NA"/>
    <n v="5"/>
    <n v="0"/>
    <n v="5"/>
    <n v="0"/>
    <n v="0.25"/>
    <n v="5"/>
    <n v="12.25"/>
    <m/>
    <n v="90"/>
    <n v="20"/>
    <m/>
    <n v="1"/>
    <s v="Vedplanter"/>
    <m/>
    <m/>
    <m/>
    <m/>
    <m/>
    <m/>
    <m/>
    <m/>
    <m/>
    <s v="Skjellvik.inne"/>
    <s v="SKY.1.A"/>
    <s v="NA"/>
    <s v="NA"/>
    <m/>
    <n v="1"/>
    <n v="2"/>
    <n v="0"/>
    <s v="08.06.2020/09.06.2020"/>
    <m/>
  </r>
  <r>
    <x v="2"/>
    <m/>
    <x v="0"/>
    <s v="NA"/>
    <s v="NA"/>
    <s v="NA"/>
    <s v="NA"/>
    <s v="NA"/>
    <s v="NA"/>
    <s v="NA"/>
    <n v="0.25"/>
    <s v="NA"/>
    <s v="NA"/>
    <m/>
    <s v="NA"/>
    <s v="NA"/>
    <m/>
    <m/>
    <m/>
    <m/>
    <m/>
    <m/>
    <m/>
    <m/>
    <m/>
    <m/>
    <m/>
    <m/>
    <s v="Skjellvik.inne"/>
    <s v="SKY.5.A"/>
    <s v="NA"/>
    <s v="NA"/>
    <m/>
    <n v="1"/>
    <n v="2"/>
    <n v="0"/>
    <s v="08.06.2020/09.06.2020"/>
    <m/>
  </r>
  <r>
    <x v="2"/>
    <m/>
    <x v="0"/>
    <s v="NA"/>
    <s v="NA"/>
    <s v="NA"/>
    <s v="NA"/>
    <s v="NA"/>
    <s v="NA"/>
    <s v="NA"/>
    <n v="0.25"/>
    <s v="NA"/>
    <s v="NA"/>
    <m/>
    <s v="NA"/>
    <s v="NA"/>
    <m/>
    <m/>
    <m/>
    <m/>
    <m/>
    <m/>
    <m/>
    <m/>
    <m/>
    <m/>
    <m/>
    <m/>
    <m/>
    <s v="SKY.6.A"/>
    <s v="NA"/>
    <s v="NA"/>
    <m/>
    <n v="1"/>
    <n v="2"/>
    <n v="0"/>
    <s v="08.06.2020/09.06.2020"/>
    <m/>
  </r>
  <r>
    <x v="2"/>
    <m/>
    <x v="0"/>
    <s v="NA"/>
    <s v="NA"/>
    <s v="NA"/>
    <s v="NA"/>
    <s v="NA"/>
    <s v="NA"/>
    <s v="NA"/>
    <n v="0.25"/>
    <s v="NA"/>
    <s v="NA"/>
    <m/>
    <s v="NA"/>
    <s v="NA"/>
    <m/>
    <m/>
    <m/>
    <m/>
    <m/>
    <m/>
    <m/>
    <m/>
    <m/>
    <m/>
    <m/>
    <m/>
    <m/>
    <s v="SKY.8.A"/>
    <s v="NA"/>
    <s v="NA"/>
    <m/>
    <n v="1"/>
    <n v="2"/>
    <n v="0"/>
    <s v="08.06.2020/09.06.2020"/>
    <m/>
  </r>
  <r>
    <x v="2"/>
    <s v="SKJ1"/>
    <x v="1"/>
    <n v="1"/>
    <s v="NA"/>
    <s v="NA"/>
    <n v="0"/>
    <n v="0"/>
    <n v="0"/>
    <s v="NA"/>
    <n v="0.25"/>
    <n v="0"/>
    <n v="13.25"/>
    <m/>
    <n v="70"/>
    <n v="50"/>
    <n v="5"/>
    <n v="0"/>
    <m/>
    <m/>
    <m/>
    <m/>
    <n v="10"/>
    <n v="14"/>
    <n v="16"/>
    <n v="13"/>
    <m/>
    <m/>
    <s v="Skjellvik.inne"/>
    <s v="SKX.1.A"/>
    <s v="NA"/>
    <s v="NA"/>
    <s v="NA"/>
    <n v="1"/>
    <n v="2"/>
    <n v="0"/>
    <d v="2021-07-02T00:00:00"/>
    <m/>
  </r>
  <r>
    <x v="2"/>
    <s v="SKJ10"/>
    <x v="1"/>
    <n v="1"/>
    <s v="TR4"/>
    <n v="7"/>
    <n v="3"/>
    <n v="1"/>
    <n v="2"/>
    <n v="0.33333333333333331"/>
    <n v="0.25"/>
    <n v="3"/>
    <s v="NA"/>
    <m/>
    <n v="95"/>
    <n v="2"/>
    <n v="5"/>
    <n v="20"/>
    <s v="Pors"/>
    <m/>
    <m/>
    <m/>
    <s v="NA"/>
    <s v="NA"/>
    <s v="NA"/>
    <s v="NA"/>
    <m/>
    <m/>
    <m/>
    <s v="SKY.7.A"/>
    <s v="NA"/>
    <s v="NA"/>
    <s v="NA"/>
    <n v="1"/>
    <n v="2"/>
    <n v="0"/>
    <d v="2021-07-02T00:00:00"/>
    <m/>
  </r>
  <r>
    <x v="2"/>
    <s v="SKJ11"/>
    <x v="1"/>
    <n v="1"/>
    <s v="TR3"/>
    <n v="3"/>
    <n v="8"/>
    <n v="2"/>
    <n v="6"/>
    <n v="0.25"/>
    <n v="0.25"/>
    <n v="8"/>
    <n v="17"/>
    <m/>
    <n v="95"/>
    <n v="10"/>
    <n v="8"/>
    <n v="3"/>
    <s v="Bukkebeinurt"/>
    <s v="Bukkebeinurt"/>
    <n v="2"/>
    <m/>
    <n v="19"/>
    <n v="20"/>
    <n v="14"/>
    <n v="15"/>
    <m/>
    <m/>
    <s v="Skjellvik.inne"/>
    <s v="SKY.10.A"/>
    <s v="NA"/>
    <s v="NA"/>
    <s v="NA"/>
    <n v="1"/>
    <n v="2"/>
    <n v="0"/>
    <d v="2021-07-02T00:00:00"/>
    <m/>
  </r>
  <r>
    <x v="2"/>
    <s v="SKJ12"/>
    <x v="1"/>
    <n v="1"/>
    <s v="NA"/>
    <s v="NA"/>
    <n v="8"/>
    <n v="0"/>
    <n v="8"/>
    <n v="0"/>
    <n v="0.25"/>
    <n v="8"/>
    <n v="25.5"/>
    <m/>
    <n v="100"/>
    <n v="0"/>
    <n v="5"/>
    <n v="30"/>
    <s v="Pors+mjødurt"/>
    <m/>
    <m/>
    <m/>
    <n v="28"/>
    <n v="17"/>
    <n v="32"/>
    <n v="25"/>
    <m/>
    <m/>
    <m/>
    <s v="SKY.9.A"/>
    <s v="NA"/>
    <s v="NA"/>
    <s v="NA"/>
    <n v="1"/>
    <n v="2"/>
    <n v="0"/>
    <d v="2021-07-02T00:00:00"/>
    <m/>
  </r>
  <r>
    <x v="2"/>
    <s v="SKJ13"/>
    <x v="1"/>
    <n v="0"/>
    <s v="TR1"/>
    <n v="5"/>
    <n v="25"/>
    <n v="9"/>
    <n v="16"/>
    <n v="0.36"/>
    <n v="0.25"/>
    <n v="25"/>
    <n v="18.25"/>
    <m/>
    <n v="100"/>
    <n v="5"/>
    <n v="5"/>
    <n v="22"/>
    <s v="Vier+kvann+mjødurt"/>
    <m/>
    <m/>
    <m/>
    <n v="10"/>
    <n v="23"/>
    <n v="14"/>
    <n v="26"/>
    <m/>
    <m/>
    <s v="Skjellvik.inne"/>
    <s v="SKY.13"/>
    <s v="NA"/>
    <s v="NA"/>
    <s v="NA"/>
    <n v="1"/>
    <n v="2"/>
    <n v="0"/>
    <d v="2021-07-02T00:00:00"/>
    <m/>
  </r>
  <r>
    <x v="2"/>
    <s v="SKJ14"/>
    <x v="1"/>
    <n v="0"/>
    <s v="TR1"/>
    <n v="15"/>
    <n v="0"/>
    <n v="0"/>
    <n v="0"/>
    <s v="NA"/>
    <n v="0.25"/>
    <n v="0"/>
    <n v="37.75"/>
    <m/>
    <n v="100"/>
    <n v="2"/>
    <n v="3"/>
    <n v="20"/>
    <s v="Pors+myrtistel+mjødurt"/>
    <m/>
    <m/>
    <m/>
    <n v="42"/>
    <n v="36"/>
    <n v="35"/>
    <n v="38"/>
    <m/>
    <m/>
    <s v="Skjellvik.inne"/>
    <s v="SKY.14"/>
    <s v="NA"/>
    <s v="NA"/>
    <s v="NA"/>
    <n v="1"/>
    <n v="2"/>
    <n v="0"/>
    <d v="2021-07-02T00:00:00"/>
    <m/>
  </r>
  <r>
    <x v="2"/>
    <s v="SKJ15"/>
    <x v="1"/>
    <n v="0"/>
    <s v="TR1"/>
    <n v="25"/>
    <n v="0"/>
    <n v="0"/>
    <n v="0"/>
    <s v="NA"/>
    <n v="0.25"/>
    <n v="0"/>
    <n v="27"/>
    <m/>
    <n v="90"/>
    <n v="0"/>
    <n v="10"/>
    <n v="75"/>
    <s v="Slåpetorn"/>
    <m/>
    <m/>
    <s v="Utenfor gjerdet"/>
    <n v="22"/>
    <n v="29"/>
    <n v="33"/>
    <n v="24"/>
    <m/>
    <m/>
    <s v="Skjellvik.inne"/>
    <s v="SKY.15"/>
    <s v="NA"/>
    <s v="NA"/>
    <s v="NA"/>
    <n v="1"/>
    <n v="2"/>
    <n v="0"/>
    <d v="2021-07-02T00:00:00"/>
    <m/>
  </r>
  <r>
    <x v="2"/>
    <s v="SKJ16"/>
    <x v="1"/>
    <n v="0"/>
    <s v="TR1"/>
    <n v="35"/>
    <n v="0"/>
    <n v="0"/>
    <n v="0"/>
    <s v="NA"/>
    <n v="0.25"/>
    <n v="0"/>
    <n v="12.25"/>
    <m/>
    <n v="50"/>
    <n v="0"/>
    <n v="20"/>
    <n v="15"/>
    <s v="Bjørnebær"/>
    <m/>
    <m/>
    <s v="Utenfor gjerdet"/>
    <n v="17"/>
    <n v="13"/>
    <n v="10"/>
    <n v="9"/>
    <m/>
    <m/>
    <s v="Skjellvik.inne"/>
    <s v="SKY.16"/>
    <s v="NA"/>
    <s v="NA"/>
    <s v="NA"/>
    <n v="1"/>
    <n v="2"/>
    <n v="0"/>
    <d v="2021-07-02T00:00:00"/>
    <m/>
  </r>
  <r>
    <x v="2"/>
    <s v="SKJ17"/>
    <x v="1"/>
    <n v="0"/>
    <s v="TR1"/>
    <n v="45"/>
    <n v="0"/>
    <n v="0"/>
    <n v="0"/>
    <s v="NA"/>
    <n v="0.25"/>
    <n v="0"/>
    <n v="5.5"/>
    <m/>
    <n v="30"/>
    <n v="60"/>
    <n v="10"/>
    <n v="4"/>
    <s v="Bjørnebær"/>
    <m/>
    <m/>
    <s v="Utenfor gjerdet"/>
    <n v="5"/>
    <n v="6"/>
    <n v="7"/>
    <n v="4"/>
    <m/>
    <m/>
    <m/>
    <s v="SKY.17"/>
    <s v="NA"/>
    <s v="NA"/>
    <s v="NA"/>
    <n v="1"/>
    <n v="2"/>
    <n v="0"/>
    <d v="2021-07-02T00:00:00"/>
    <m/>
  </r>
  <r>
    <x v="2"/>
    <s v="SKJ18"/>
    <x v="1"/>
    <n v="0"/>
    <s v="TR2"/>
    <n v="5"/>
    <n v="6"/>
    <n v="1"/>
    <n v="5"/>
    <n v="0.16666666666666666"/>
    <n v="0.25"/>
    <n v="6"/>
    <n v="17.5"/>
    <m/>
    <n v="75"/>
    <n v="50"/>
    <n v="10"/>
    <n v="10"/>
    <s v="Pors"/>
    <m/>
    <m/>
    <m/>
    <n v="18"/>
    <n v="19"/>
    <n v="16"/>
    <n v="17"/>
    <m/>
    <m/>
    <m/>
    <s v="SKY.18"/>
    <s v="NA"/>
    <s v="NA"/>
    <s v="NA"/>
    <n v="1"/>
    <n v="2"/>
    <n v="0"/>
    <d v="2021-07-02T00:00:00"/>
    <m/>
  </r>
  <r>
    <x v="2"/>
    <s v="SKJ19"/>
    <x v="1"/>
    <n v="0"/>
    <s v="TR2"/>
    <n v="15"/>
    <n v="0"/>
    <n v="0"/>
    <n v="0"/>
    <s v="NA"/>
    <n v="0.25"/>
    <n v="0"/>
    <n v="18.25"/>
    <m/>
    <n v="60"/>
    <n v="80"/>
    <n v="20"/>
    <n v="16"/>
    <s v="Pors"/>
    <m/>
    <m/>
    <m/>
    <n v="17"/>
    <n v="22"/>
    <n v="16"/>
    <n v="18"/>
    <m/>
    <m/>
    <m/>
    <s v="SKY.19"/>
    <s v="NA"/>
    <s v="NA"/>
    <s v="NA"/>
    <n v="1"/>
    <n v="2"/>
    <n v="0"/>
    <d v="2021-07-02T00:00:00"/>
    <m/>
  </r>
  <r>
    <x v="2"/>
    <s v="SKJ2"/>
    <x v="1"/>
    <n v="1"/>
    <s v="NA"/>
    <s v="NA"/>
    <n v="0"/>
    <n v="0"/>
    <n v="0"/>
    <s v="NA"/>
    <n v="0.25"/>
    <n v="0"/>
    <n v="18.5"/>
    <m/>
    <n v="90"/>
    <n v="30"/>
    <n v="5"/>
    <n v="0"/>
    <m/>
    <m/>
    <m/>
    <m/>
    <n v="15"/>
    <n v="16"/>
    <n v="25"/>
    <n v="18"/>
    <m/>
    <m/>
    <s v="Skjellvik.inne"/>
    <s v="SKX.10.A"/>
    <s v="NA"/>
    <s v="NA"/>
    <s v="NA"/>
    <n v="1"/>
    <n v="2"/>
    <n v="0"/>
    <d v="2021-07-02T00:00:00"/>
    <m/>
  </r>
  <r>
    <x v="2"/>
    <s v="SKJ20"/>
    <x v="1"/>
    <n v="0"/>
    <s v="TR2"/>
    <n v="25"/>
    <n v="0"/>
    <n v="0"/>
    <n v="0"/>
    <s v="NA"/>
    <n v="0.25"/>
    <n v="0"/>
    <n v="16.75"/>
    <m/>
    <n v="80"/>
    <n v="5"/>
    <n v="20"/>
    <n v="3"/>
    <s v="Mjødurt"/>
    <m/>
    <m/>
    <s v="Lagt på 24.5 m, akkurat innenfor gjerdet"/>
    <n v="17"/>
    <n v="16"/>
    <n v="14"/>
    <n v="20"/>
    <m/>
    <m/>
    <m/>
    <s v="SKY.20"/>
    <s v="NA"/>
    <s v="NA"/>
    <s v="NA"/>
    <n v="1"/>
    <n v="2"/>
    <n v="0"/>
    <d v="2021-07-02T00:00:00"/>
    <m/>
  </r>
  <r>
    <x v="2"/>
    <s v="SKJ21"/>
    <x v="1"/>
    <n v="0"/>
    <s v="TR2"/>
    <n v="35"/>
    <n v="0"/>
    <n v="0"/>
    <n v="0"/>
    <s v="NA"/>
    <n v="0.25"/>
    <n v="0"/>
    <n v="5.75"/>
    <m/>
    <n v="40"/>
    <n v="15"/>
    <n v="10"/>
    <n v="12"/>
    <s v="Einer"/>
    <m/>
    <m/>
    <s v="Utenfor gjerdet"/>
    <n v="9"/>
    <n v="4"/>
    <n v="7"/>
    <n v="3"/>
    <m/>
    <m/>
    <m/>
    <s v="SKY.21"/>
    <s v="NA"/>
    <s v="NA"/>
    <s v="NA"/>
    <n v="1"/>
    <n v="2"/>
    <n v="0"/>
    <d v="2021-07-02T00:00:00"/>
    <m/>
  </r>
  <r>
    <x v="2"/>
    <s v="SKJ22"/>
    <x v="1"/>
    <n v="0"/>
    <s v="TR2"/>
    <n v="45"/>
    <n v="0"/>
    <n v="0"/>
    <n v="0"/>
    <s v="NA"/>
    <n v="0.25"/>
    <n v="0"/>
    <n v="6.75"/>
    <m/>
    <n v="50"/>
    <n v="30"/>
    <n v="20"/>
    <n v="7"/>
    <s v="Einer+røsslyng"/>
    <m/>
    <m/>
    <s v="Utenfor gjerdet"/>
    <n v="9"/>
    <n v="2"/>
    <n v="7"/>
    <n v="9"/>
    <m/>
    <m/>
    <m/>
    <s v="SKY.22"/>
    <s v="NA"/>
    <s v="NA"/>
    <s v="NA"/>
    <n v="1"/>
    <n v="2"/>
    <n v="0"/>
    <d v="2021-07-02T00:00:00"/>
    <m/>
  </r>
  <r>
    <x v="2"/>
    <s v="SKJ23"/>
    <x v="1"/>
    <n v="0"/>
    <s v="TR3"/>
    <n v="13"/>
    <n v="10"/>
    <n v="0"/>
    <n v="10"/>
    <n v="0"/>
    <n v="0.25"/>
    <n v="10"/>
    <n v="24.5"/>
    <m/>
    <n v="100"/>
    <n v="12"/>
    <n v="2"/>
    <n v="23"/>
    <s v="Mjødurt+bukkebeinurt+KVANN"/>
    <s v="Bukkebeinurt"/>
    <n v="3"/>
    <s v="Merket på GPS som 23 og 24"/>
    <n v="31"/>
    <n v="23"/>
    <n v="29"/>
    <n v="15"/>
    <m/>
    <m/>
    <m/>
    <s v="SKY.23"/>
    <s v="NA"/>
    <s v="NA"/>
    <s v="NA"/>
    <n v="1"/>
    <n v="2"/>
    <n v="0"/>
    <d v="2021-07-02T00:00:00"/>
    <m/>
  </r>
  <r>
    <x v="2"/>
    <s v="SKJ24"/>
    <x v="1"/>
    <n v="0"/>
    <s v="TR3"/>
    <n v="23"/>
    <n v="0"/>
    <n v="0"/>
    <n v="0"/>
    <s v="NA"/>
    <n v="0.25"/>
    <n v="0"/>
    <n v="59.5"/>
    <m/>
    <n v="100"/>
    <n v="2"/>
    <n v="0"/>
    <n v="65"/>
    <s v="Mjødurt+bukkebeinurt+KVANN"/>
    <s v="Bukkebeinurt"/>
    <n v="15"/>
    <m/>
    <n v="54"/>
    <n v="50"/>
    <n v="58"/>
    <n v="76"/>
    <m/>
    <m/>
    <m/>
    <s v="SKY.24"/>
    <s v="NA"/>
    <s v="NA"/>
    <s v="NA"/>
    <n v="1"/>
    <n v="2"/>
    <n v="0"/>
    <d v="2021-07-02T00:00:00"/>
    <m/>
  </r>
  <r>
    <x v="2"/>
    <s v="SKJ25"/>
    <x v="1"/>
    <n v="0"/>
    <s v="TR3"/>
    <n v="33"/>
    <n v="0"/>
    <n v="0"/>
    <n v="0"/>
    <s v="NA"/>
    <n v="0.25"/>
    <n v="0"/>
    <n v="49.5"/>
    <m/>
    <n v="100"/>
    <n v="0"/>
    <n v="0"/>
    <n v="55"/>
    <s v="Mjødurt+bukkebeinurt"/>
    <s v="Bukkebeinurt"/>
    <n v="15"/>
    <m/>
    <n v="55"/>
    <n v="40"/>
    <n v="55"/>
    <n v="48"/>
    <m/>
    <m/>
    <m/>
    <s v="SKY.25"/>
    <s v="NA"/>
    <s v="NA"/>
    <s v="NA"/>
    <n v="1"/>
    <n v="2"/>
    <n v="0"/>
    <d v="2021-07-02T00:00:00"/>
    <m/>
  </r>
  <r>
    <x v="2"/>
    <s v="SKJ26"/>
    <x v="1"/>
    <n v="0"/>
    <s v="TR4"/>
    <n v="17"/>
    <n v="0"/>
    <n v="0"/>
    <n v="0"/>
    <s v="NA"/>
    <n v="0.25"/>
    <n v="0"/>
    <n v="28.5"/>
    <m/>
    <n v="100"/>
    <n v="5"/>
    <n v="0"/>
    <n v="16"/>
    <s v="Mjødurt+bukkebeinurt"/>
    <s v="Bukkebeinurt"/>
    <n v="1"/>
    <m/>
    <n v="24"/>
    <n v="26"/>
    <n v="25"/>
    <n v="39"/>
    <m/>
    <m/>
    <m/>
    <s v="SKY.26"/>
    <s v="NA"/>
    <s v="NA"/>
    <s v="NA"/>
    <n v="1"/>
    <n v="2"/>
    <n v="0"/>
    <d v="2021-07-02T00:00:00"/>
    <m/>
  </r>
  <r>
    <x v="2"/>
    <s v="SKJ27"/>
    <x v="1"/>
    <n v="0"/>
    <s v="TR4"/>
    <n v="27"/>
    <n v="0"/>
    <n v="0"/>
    <n v="0"/>
    <s v="NA"/>
    <n v="0.25"/>
    <n v="0"/>
    <n v="18.5"/>
    <m/>
    <n v="95"/>
    <n v="10"/>
    <n v="5"/>
    <n v="8"/>
    <s v="Mjødurt+svartor"/>
    <m/>
    <m/>
    <m/>
    <n v="23"/>
    <n v="16"/>
    <n v="17"/>
    <n v="18"/>
    <m/>
    <m/>
    <m/>
    <s v="SKY.27"/>
    <s v="NA"/>
    <s v="NA"/>
    <s v="NA"/>
    <n v="1"/>
    <n v="2"/>
    <n v="0"/>
    <d v="2021-07-02T00:00:00"/>
    <m/>
  </r>
  <r>
    <x v="2"/>
    <s v="SKJ3"/>
    <x v="1"/>
    <n v="1"/>
    <s v="NA"/>
    <s v="NA"/>
    <n v="37"/>
    <n v="9"/>
    <n v="28"/>
    <n v="0.24324324324324326"/>
    <n v="0.25"/>
    <n v="37"/>
    <n v="18"/>
    <m/>
    <n v="80"/>
    <n v="5"/>
    <n v="15"/>
    <n v="1"/>
    <s v="Mjødurt"/>
    <m/>
    <m/>
    <m/>
    <n v="12"/>
    <n v="17"/>
    <n v="25"/>
    <n v="18"/>
    <m/>
    <m/>
    <m/>
    <s v="SKX.3.A"/>
    <s v="NA"/>
    <s v="NA"/>
    <s v="NA"/>
    <n v="1"/>
    <n v="2"/>
    <n v="0"/>
    <d v="2021-07-02T00:00:00"/>
    <m/>
  </r>
  <r>
    <x v="2"/>
    <s v="SKJ4"/>
    <x v="1"/>
    <n v="1"/>
    <s v="NA"/>
    <s v="NA"/>
    <n v="34"/>
    <n v="9"/>
    <n v="25"/>
    <n v="0.26470588235294118"/>
    <n v="0.25"/>
    <n v="34"/>
    <n v="19.25"/>
    <m/>
    <n v="95"/>
    <n v="5"/>
    <n v="5"/>
    <n v="2"/>
    <s v="Mjødurt"/>
    <m/>
    <m/>
    <m/>
    <n v="21"/>
    <n v="22"/>
    <n v="23"/>
    <n v="11"/>
    <m/>
    <m/>
    <s v="Skjellvik.inne"/>
    <s v="SKX.6.A"/>
    <s v="NA"/>
    <s v="NA"/>
    <s v="NA"/>
    <n v="1"/>
    <n v="2"/>
    <n v="0"/>
    <d v="2021-07-02T00:00:00"/>
    <m/>
  </r>
  <r>
    <x v="2"/>
    <s v="SKJ5"/>
    <x v="1"/>
    <n v="1"/>
    <s v="NA"/>
    <s v="NA"/>
    <n v="15"/>
    <n v="4"/>
    <n v="11"/>
    <n v="0.26666666666666666"/>
    <n v="0.25"/>
    <n v="15"/>
    <n v="26.5"/>
    <m/>
    <n v="98"/>
    <n v="2"/>
    <n v="2"/>
    <n v="0"/>
    <m/>
    <m/>
    <m/>
    <m/>
    <n v="20"/>
    <n v="38"/>
    <n v="27"/>
    <n v="21"/>
    <m/>
    <m/>
    <s v="Skjellvik.inne"/>
    <s v="SKX.7.A"/>
    <s v="NA"/>
    <s v="NA"/>
    <s v="NA"/>
    <n v="1"/>
    <n v="2"/>
    <n v="0"/>
    <d v="2021-07-02T00:00:00"/>
    <m/>
  </r>
  <r>
    <x v="2"/>
    <s v="SKJ6"/>
    <x v="1"/>
    <n v="1"/>
    <s v="NA"/>
    <s v="NA"/>
    <n v="26"/>
    <n v="10"/>
    <n v="16"/>
    <n v="0.38461538461538464"/>
    <n v="0.25"/>
    <n v="26"/>
    <n v="21.5"/>
    <m/>
    <n v="100"/>
    <n v="1"/>
    <n v="0"/>
    <n v="3"/>
    <s v="Mjødurt"/>
    <m/>
    <m/>
    <m/>
    <n v="20"/>
    <n v="15"/>
    <n v="25"/>
    <n v="26"/>
    <m/>
    <m/>
    <s v="Skjellvik.inne"/>
    <s v="SKX.8.A"/>
    <s v="NA"/>
    <s v="NA"/>
    <s v="NA"/>
    <n v="1"/>
    <n v="2"/>
    <n v="0"/>
    <d v="2021-07-02T00:00:00"/>
    <m/>
  </r>
  <r>
    <x v="2"/>
    <s v="SKJ7"/>
    <x v="1"/>
    <n v="1"/>
    <s v="NA"/>
    <s v="NA"/>
    <n v="1"/>
    <n v="1"/>
    <n v="0"/>
    <n v="1"/>
    <n v="0.25"/>
    <n v="1"/>
    <n v="13.75"/>
    <m/>
    <n v="85"/>
    <n v="10"/>
    <n v="5"/>
    <m/>
    <m/>
    <m/>
    <m/>
    <m/>
    <n v="16"/>
    <n v="18"/>
    <n v="18"/>
    <n v="20"/>
    <m/>
    <m/>
    <m/>
    <s v="SKY.2.A"/>
    <s v="NA"/>
    <s v="NA"/>
    <m/>
    <n v="1"/>
    <n v="2"/>
    <n v="0"/>
    <d v="2021-07-02T00:00:00"/>
    <m/>
  </r>
  <r>
    <x v="2"/>
    <s v="SKJ8"/>
    <x v="1"/>
    <n v="1"/>
    <s v="NA"/>
    <s v="NA"/>
    <n v="0"/>
    <n v="0"/>
    <n v="0"/>
    <s v="NA"/>
    <n v="0.25"/>
    <n v="0"/>
    <n v="16.75"/>
    <m/>
    <n v="100"/>
    <n v="5"/>
    <n v="0"/>
    <m/>
    <m/>
    <m/>
    <m/>
    <m/>
    <n v="24"/>
    <n v="24"/>
    <n v="28"/>
    <n v="33"/>
    <m/>
    <m/>
    <m/>
    <s v="SKY.3.A"/>
    <s v="NA"/>
    <s v="NA"/>
    <m/>
    <n v="1"/>
    <n v="2"/>
    <n v="0"/>
    <d v="2021-07-02T00:00:00"/>
    <m/>
  </r>
  <r>
    <x v="2"/>
    <s v="SKJ9"/>
    <x v="1"/>
    <n v="1"/>
    <s v="NA"/>
    <s v="NA"/>
    <n v="3"/>
    <n v="2"/>
    <n v="1"/>
    <n v="0.66666666666666663"/>
    <n v="0.25"/>
    <n v="3"/>
    <n v="30"/>
    <m/>
    <n v="100"/>
    <n v="1"/>
    <n v="0"/>
    <n v="0"/>
    <m/>
    <m/>
    <m/>
    <m/>
    <n v="31"/>
    <n v="29"/>
    <n v="32"/>
    <n v="28"/>
    <m/>
    <m/>
    <m/>
    <s v="SKY.4.A"/>
    <s v="NA"/>
    <s v="NA"/>
    <s v="NA"/>
    <n v="1"/>
    <n v="2"/>
    <n v="0"/>
    <d v="2021-07-02T00:00:00"/>
    <m/>
  </r>
  <r>
    <x v="2"/>
    <s v="SKJ1"/>
    <x v="2"/>
    <n v="1"/>
    <s v="NA"/>
    <s v="NA"/>
    <n v="0"/>
    <n v="0"/>
    <n v="0"/>
    <s v="NA"/>
    <n v="0.25"/>
    <n v="0"/>
    <n v="15.75"/>
    <m/>
    <n v="95"/>
    <n v="20"/>
    <n v="5"/>
    <n v="0"/>
    <s v="NA"/>
    <s v="hjertegras"/>
    <n v="2"/>
    <m/>
    <n v="10"/>
    <n v="25"/>
    <n v="13"/>
    <n v="15"/>
    <m/>
    <m/>
    <m/>
    <m/>
    <m/>
    <s v="NA"/>
    <m/>
    <m/>
    <m/>
    <m/>
    <d v="2022-07-05T00:00:00"/>
    <m/>
  </r>
  <r>
    <x v="2"/>
    <s v="SKJ10"/>
    <x v="2"/>
    <n v="1"/>
    <s v="TR4"/>
    <n v="7"/>
    <n v="11"/>
    <n v="1"/>
    <n v="10"/>
    <n v="9.0909090909090912E-2"/>
    <n v="0.25"/>
    <n v="11"/>
    <n v="23"/>
    <m/>
    <n v="100"/>
    <n v="0"/>
    <n v="2"/>
    <n v="8"/>
    <s v="Pors"/>
    <s v="Bukkebeinurt"/>
    <n v="2"/>
    <m/>
    <n v="21"/>
    <n v="22"/>
    <n v="25"/>
    <n v="24"/>
    <m/>
    <m/>
    <m/>
    <m/>
    <m/>
    <s v="NA"/>
    <m/>
    <m/>
    <m/>
    <m/>
    <d v="2022-07-05T00:00:00"/>
    <m/>
  </r>
  <r>
    <x v="2"/>
    <s v="SKJ11"/>
    <x v="2"/>
    <n v="1"/>
    <s v="TR3"/>
    <n v="3"/>
    <n v="18"/>
    <n v="3"/>
    <n v="15"/>
    <n v="0.16666666666666666"/>
    <n v="0.25"/>
    <n v="18"/>
    <n v="20.25"/>
    <m/>
    <n v="98"/>
    <n v="3"/>
    <n v="18"/>
    <n v="1"/>
    <s v="Mjødurt"/>
    <s v="bukkebeinurt+hjertegras"/>
    <n v="9"/>
    <m/>
    <n v="20"/>
    <n v="25"/>
    <n v="19"/>
    <n v="17"/>
    <m/>
    <m/>
    <m/>
    <m/>
    <m/>
    <s v="NA"/>
    <m/>
    <m/>
    <m/>
    <m/>
    <d v="2022-07-05T00:00:00"/>
    <m/>
  </r>
  <r>
    <x v="2"/>
    <s v="SKJ12"/>
    <x v="2"/>
    <n v="1"/>
    <s v="NA"/>
    <s v="NA"/>
    <n v="10"/>
    <n v="0"/>
    <n v="10"/>
    <n v="0"/>
    <n v="0.25"/>
    <n v="10"/>
    <n v="24.25"/>
    <m/>
    <n v="100"/>
    <n v="0"/>
    <n v="2"/>
    <n v="34"/>
    <s v="Pors+mjødurt"/>
    <s v="krusfrø+hjertegras"/>
    <n v="3"/>
    <m/>
    <n v="22"/>
    <n v="23"/>
    <n v="25"/>
    <n v="27"/>
    <m/>
    <m/>
    <m/>
    <m/>
    <m/>
    <s v="NA"/>
    <m/>
    <m/>
    <m/>
    <m/>
    <d v="2022-07-05T00:00:00"/>
    <m/>
  </r>
  <r>
    <x v="2"/>
    <s v="SKJ13"/>
    <x v="2"/>
    <n v="0"/>
    <s v="TR1"/>
    <n v="5"/>
    <n v="49"/>
    <n v="14"/>
    <n v="35"/>
    <n v="0.2857142857142857"/>
    <n v="0.25"/>
    <n v="49"/>
    <n v="28.25"/>
    <m/>
    <n v="95"/>
    <n v="40"/>
    <n v="5"/>
    <n v="28"/>
    <s v="Mjødurt+Salix sp"/>
    <s v="krusfrø"/>
    <n v="1"/>
    <m/>
    <n v="25"/>
    <n v="27"/>
    <n v="30"/>
    <n v="31"/>
    <m/>
    <m/>
    <m/>
    <m/>
    <m/>
    <s v="NA"/>
    <m/>
    <m/>
    <m/>
    <m/>
    <d v="2022-07-05T00:00:00"/>
    <m/>
  </r>
  <r>
    <x v="2"/>
    <s v="SKJ14"/>
    <x v="2"/>
    <n v="0"/>
    <s v="TR1"/>
    <n v="15"/>
    <n v="0"/>
    <n v="0"/>
    <n v="0"/>
    <s v="NA"/>
    <n v="0.25"/>
    <n v="0"/>
    <n v="37.75"/>
    <m/>
    <n v="100"/>
    <n v="1"/>
    <n v="5"/>
    <n v="43"/>
    <s v="Pors+Mjødurt+Myrtistel"/>
    <s v="krusfrø"/>
    <n v="1"/>
    <m/>
    <n v="31"/>
    <n v="40"/>
    <n v="32"/>
    <n v="48"/>
    <m/>
    <m/>
    <m/>
    <m/>
    <m/>
    <s v="NA"/>
    <m/>
    <m/>
    <m/>
    <m/>
    <d v="2022-07-05T00:00:00"/>
    <m/>
  </r>
  <r>
    <x v="2"/>
    <s v="SKJ15"/>
    <x v="2"/>
    <n v="0"/>
    <s v="TR1"/>
    <n v="25"/>
    <n v="0"/>
    <n v="0"/>
    <n v="0"/>
    <s v="NA"/>
    <n v="0.25"/>
    <n v="0"/>
    <n v="31"/>
    <m/>
    <n v="99"/>
    <n v="0"/>
    <n v="8"/>
    <n v="47"/>
    <s v="Slåpetorn+Teiebær"/>
    <s v="krattalant+hjertegras"/>
    <n v="6"/>
    <m/>
    <n v="27"/>
    <n v="30"/>
    <n v="35"/>
    <n v="32"/>
    <m/>
    <m/>
    <m/>
    <m/>
    <m/>
    <s v="NA"/>
    <m/>
    <m/>
    <m/>
    <m/>
    <d v="2022-07-05T00:00:00"/>
    <m/>
  </r>
  <r>
    <x v="2"/>
    <s v="SKJ16"/>
    <x v="2"/>
    <n v="0"/>
    <s v="TR1"/>
    <n v="35"/>
    <n v="0"/>
    <n v="0"/>
    <n v="0"/>
    <s v="NA"/>
    <n v="0.25"/>
    <n v="0"/>
    <n v="8.25"/>
    <m/>
    <n v="30"/>
    <n v="2"/>
    <n v="80"/>
    <n v="5"/>
    <s v="Teiebær"/>
    <s v="kystfrøstjerne"/>
    <n v="2"/>
    <m/>
    <n v="11"/>
    <n v="6"/>
    <n v="6"/>
    <n v="10"/>
    <m/>
    <m/>
    <m/>
    <m/>
    <m/>
    <s v="NA"/>
    <m/>
    <s v="krattrydding"/>
    <m/>
    <m/>
    <d v="2022-07-05T00:00:00"/>
    <m/>
  </r>
  <r>
    <x v="2"/>
    <s v="SKJ17"/>
    <x v="2"/>
    <n v="0"/>
    <s v="TR1"/>
    <n v="45"/>
    <n v="0"/>
    <n v="0"/>
    <n v="0"/>
    <s v="NA"/>
    <n v="0.25"/>
    <n v="0"/>
    <n v="8"/>
    <m/>
    <n v="40"/>
    <n v="55"/>
    <n v="15"/>
    <n v="7"/>
    <s v="Teiebær"/>
    <s v="kystfrøstjerne"/>
    <n v="4"/>
    <m/>
    <n v="14"/>
    <n v="5"/>
    <n v="5"/>
    <n v="8"/>
    <m/>
    <m/>
    <m/>
    <m/>
    <m/>
    <s v="NA"/>
    <m/>
    <s v="krattrydding"/>
    <m/>
    <m/>
    <d v="2022-07-05T00:00:00"/>
    <m/>
  </r>
  <r>
    <x v="2"/>
    <s v="SKJ18"/>
    <x v="2"/>
    <n v="0"/>
    <s v="TR2"/>
    <n v="5"/>
    <n v="9"/>
    <n v="4"/>
    <n v="5"/>
    <n v="0.44444444444444442"/>
    <n v="0.25"/>
    <n v="9"/>
    <n v="16.25"/>
    <m/>
    <n v="100"/>
    <n v="10"/>
    <n v="10"/>
    <n v="30"/>
    <s v="Pors"/>
    <s v="krusfrø"/>
    <n v="1"/>
    <m/>
    <n v="14"/>
    <n v="25"/>
    <n v="10"/>
    <n v="16"/>
    <m/>
    <m/>
    <m/>
    <m/>
    <m/>
    <s v="NA"/>
    <m/>
    <m/>
    <m/>
    <m/>
    <d v="2022-07-05T00:00:00"/>
    <m/>
  </r>
  <r>
    <x v="2"/>
    <s v="SKJ19"/>
    <x v="2"/>
    <n v="0"/>
    <s v="TR2"/>
    <n v="15"/>
    <n v="0"/>
    <n v="0"/>
    <n v="0"/>
    <s v="NA"/>
    <n v="0.25"/>
    <n v="0"/>
    <n v="17"/>
    <m/>
    <n v="80"/>
    <n v="90"/>
    <n v="10"/>
    <n v="10"/>
    <s v="Pors"/>
    <s v="NA"/>
    <n v="0"/>
    <m/>
    <n v="17"/>
    <n v="19"/>
    <n v="19"/>
    <n v="13"/>
    <m/>
    <m/>
    <m/>
    <m/>
    <m/>
    <s v="NA"/>
    <m/>
    <m/>
    <m/>
    <m/>
    <d v="2022-07-05T00:00:00"/>
    <m/>
  </r>
  <r>
    <x v="2"/>
    <s v="SKJ2"/>
    <x v="2"/>
    <n v="1"/>
    <s v="NA"/>
    <s v="NA"/>
    <n v="0"/>
    <n v="0"/>
    <n v="0"/>
    <s v="NA"/>
    <n v="0.25"/>
    <n v="0"/>
    <n v="16.5"/>
    <m/>
    <n v="96"/>
    <n v="30"/>
    <n v="2"/>
    <n v="5"/>
    <s v="Mjødurt"/>
    <s v="NA"/>
    <n v="0"/>
    <m/>
    <n v="16"/>
    <n v="20"/>
    <n v="15"/>
    <n v="15"/>
    <m/>
    <m/>
    <m/>
    <m/>
    <m/>
    <s v="NA"/>
    <m/>
    <m/>
    <m/>
    <m/>
    <d v="2022-07-05T00:00:00"/>
    <m/>
  </r>
  <r>
    <x v="2"/>
    <s v="SKJ20"/>
    <x v="2"/>
    <n v="0"/>
    <s v="TR2"/>
    <n v="25"/>
    <n v="0"/>
    <n v="0"/>
    <n v="0"/>
    <s v="NA"/>
    <n v="0.25"/>
    <n v="0"/>
    <n v="17.75"/>
    <m/>
    <n v="100"/>
    <n v="60"/>
    <n v="6"/>
    <n v="3"/>
    <s v="Mjødurt"/>
    <s v="krattalant+hjertegras"/>
    <n v="12"/>
    <m/>
    <n v="18"/>
    <n v="18"/>
    <n v="19"/>
    <n v="16"/>
    <m/>
    <m/>
    <m/>
    <m/>
    <m/>
    <s v="NA"/>
    <m/>
    <m/>
    <m/>
    <m/>
    <d v="2022-07-05T00:00:00"/>
    <m/>
  </r>
  <r>
    <x v="2"/>
    <s v="SKJ21"/>
    <x v="2"/>
    <n v="0"/>
    <s v="TR2"/>
    <n v="35"/>
    <n v="0"/>
    <n v="0"/>
    <n v="0"/>
    <s v="NA"/>
    <n v="0.25"/>
    <n v="0"/>
    <n v="9.5"/>
    <m/>
    <n v="45"/>
    <n v="20"/>
    <n v="30"/>
    <n v="10"/>
    <s v="Einer"/>
    <s v="hjertegras"/>
    <n v="1"/>
    <m/>
    <n v="10"/>
    <n v="8"/>
    <n v="3"/>
    <n v="17"/>
    <m/>
    <m/>
    <m/>
    <m/>
    <m/>
    <s v="NA"/>
    <m/>
    <m/>
    <m/>
    <m/>
    <d v="2022-07-05T00:00:00"/>
    <m/>
  </r>
  <r>
    <x v="2"/>
    <s v="SKJ22"/>
    <x v="2"/>
    <n v="0"/>
    <s v="TR2"/>
    <n v="45"/>
    <n v="0"/>
    <n v="0"/>
    <n v="0"/>
    <s v="NA"/>
    <n v="0.25"/>
    <n v="0"/>
    <n v="5.25"/>
    <m/>
    <n v="38"/>
    <n v="25"/>
    <n v="30"/>
    <n v="10"/>
    <s v="Einer+Røsslyng"/>
    <s v="hjertegras"/>
    <n v="1"/>
    <m/>
    <n v="2"/>
    <n v="9"/>
    <n v="4"/>
    <n v="6"/>
    <m/>
    <m/>
    <m/>
    <m/>
    <m/>
    <s v="NA"/>
    <m/>
    <m/>
    <m/>
    <m/>
    <d v="2022-07-05T00:00:00"/>
    <m/>
  </r>
  <r>
    <x v="2"/>
    <s v="SKJ23"/>
    <x v="2"/>
    <n v="0"/>
    <s v="TR3"/>
    <n v="13"/>
    <n v="9"/>
    <n v="4"/>
    <n v="5"/>
    <n v="0.44444444444444442"/>
    <n v="0.25"/>
    <n v="9"/>
    <n v="28.75"/>
    <m/>
    <n v="96"/>
    <n v="1"/>
    <n v="2"/>
    <n v="12"/>
    <s v="Mjødurt"/>
    <s v="bukkebeinurt+krattalant+rankfrøstjerne"/>
    <n v="19"/>
    <s v="usikker artsbestemmelse på rankfrøstjerne"/>
    <n v="25"/>
    <n v="32"/>
    <n v="40"/>
    <n v="18"/>
    <m/>
    <m/>
    <m/>
    <m/>
    <m/>
    <s v="NA"/>
    <m/>
    <m/>
    <m/>
    <m/>
    <d v="2022-07-05T00:00:00"/>
    <m/>
  </r>
  <r>
    <x v="2"/>
    <s v="SKJ24"/>
    <x v="2"/>
    <n v="0"/>
    <s v="TR3"/>
    <n v="23"/>
    <n v="0"/>
    <n v="0"/>
    <n v="0"/>
    <s v="NA"/>
    <n v="0.25"/>
    <n v="0"/>
    <n v="35.75"/>
    <m/>
    <n v="100"/>
    <n v="0"/>
    <n v="6"/>
    <n v="30"/>
    <s v="Mjødurt"/>
    <s v="bukkebeinurt+krattalant+hjertegras"/>
    <n v="9"/>
    <m/>
    <n v="26"/>
    <n v="40"/>
    <n v="45"/>
    <n v="32"/>
    <m/>
    <m/>
    <m/>
    <m/>
    <m/>
    <s v="NA"/>
    <m/>
    <m/>
    <m/>
    <m/>
    <d v="2022-07-05T00:00:00"/>
    <m/>
  </r>
  <r>
    <x v="2"/>
    <s v="SKJ25"/>
    <x v="2"/>
    <n v="0"/>
    <s v="TR3"/>
    <n v="33"/>
    <n v="0"/>
    <n v="0"/>
    <n v="0"/>
    <s v="NA"/>
    <n v="0.25"/>
    <n v="0"/>
    <n v="56"/>
    <m/>
    <n v="100"/>
    <n v="0"/>
    <n v="1"/>
    <n v="18"/>
    <s v="Mjødurt"/>
    <s v="bukkebeinurt+krattalant"/>
    <n v="9"/>
    <m/>
    <n v="60"/>
    <n v="48"/>
    <n v="62"/>
    <n v="54"/>
    <m/>
    <m/>
    <m/>
    <m/>
    <m/>
    <s v="NA"/>
    <m/>
    <m/>
    <m/>
    <m/>
    <d v="2022-07-05T00:00:00"/>
    <m/>
  </r>
  <r>
    <x v="2"/>
    <s v="SKJ26"/>
    <x v="2"/>
    <n v="0"/>
    <s v="TR4"/>
    <n v="17"/>
    <n v="0"/>
    <n v="0"/>
    <n v="0"/>
    <s v="NA"/>
    <n v="0.25"/>
    <n v="0"/>
    <n v="23.5"/>
    <m/>
    <n v="95"/>
    <n v="5"/>
    <n v="10"/>
    <n v="24"/>
    <s v="Mjødurt"/>
    <s v="bukkebeinurt+krattalant"/>
    <n v="5"/>
    <m/>
    <n v="19"/>
    <n v="26"/>
    <n v="15"/>
    <n v="34"/>
    <m/>
    <m/>
    <m/>
    <m/>
    <m/>
    <s v="NA"/>
    <m/>
    <m/>
    <m/>
    <m/>
    <d v="2022-07-05T00:00:00"/>
    <m/>
  </r>
  <r>
    <x v="2"/>
    <s v="SKJ27"/>
    <x v="2"/>
    <n v="0"/>
    <s v="TR4"/>
    <n v="27"/>
    <n v="0"/>
    <n v="0"/>
    <n v="0"/>
    <s v="NA"/>
    <n v="0.25"/>
    <n v="0"/>
    <n v="16.25"/>
    <m/>
    <n v="100"/>
    <n v="10"/>
    <n v="5"/>
    <n v="11"/>
    <s v="Or+Mjødurt"/>
    <s v="krusfrø+bukkebeinurt"/>
    <n v="3"/>
    <m/>
    <n v="14"/>
    <n v="13"/>
    <n v="17"/>
    <n v="21"/>
    <m/>
    <m/>
    <m/>
    <m/>
    <m/>
    <s v="NA"/>
    <m/>
    <m/>
    <m/>
    <m/>
    <d v="2022-07-05T00:00:00"/>
    <m/>
  </r>
  <r>
    <x v="2"/>
    <s v="SKJ3"/>
    <x v="2"/>
    <n v="1"/>
    <s v="NA"/>
    <s v="NA"/>
    <n v="35"/>
    <n v="8"/>
    <n v="27"/>
    <n v="0.22857142857142856"/>
    <n v="0.25"/>
    <n v="35"/>
    <n v="16.75"/>
    <m/>
    <n v="97"/>
    <n v="1"/>
    <n v="5"/>
    <n v="2"/>
    <s v="Mjødurt"/>
    <s v="hjertegrass"/>
    <n v="2"/>
    <m/>
    <n v="17"/>
    <n v="16"/>
    <n v="20"/>
    <n v="14"/>
    <m/>
    <m/>
    <m/>
    <m/>
    <m/>
    <s v="NA"/>
    <m/>
    <m/>
    <m/>
    <m/>
    <d v="2022-07-05T00:00:00"/>
    <m/>
  </r>
  <r>
    <x v="2"/>
    <s v="SKJ4"/>
    <x v="2"/>
    <n v="1"/>
    <s v="NA"/>
    <s v="NA"/>
    <n v="33"/>
    <n v="11"/>
    <n v="22"/>
    <n v="0.33333333333333331"/>
    <n v="0.25"/>
    <n v="33"/>
    <n v="18"/>
    <m/>
    <n v="98"/>
    <n v="2"/>
    <n v="2"/>
    <n v="3"/>
    <s v="Mjødurt"/>
    <s v="hjertegrass"/>
    <n v="0.1"/>
    <m/>
    <n v="17"/>
    <n v="14"/>
    <n v="20"/>
    <n v="21"/>
    <m/>
    <m/>
    <m/>
    <m/>
    <m/>
    <s v="NA"/>
    <m/>
    <m/>
    <m/>
    <m/>
    <d v="2022-07-05T00:00:00"/>
    <m/>
  </r>
  <r>
    <x v="2"/>
    <s v="SKJ5"/>
    <x v="2"/>
    <n v="1"/>
    <s v="NA"/>
    <s v="NA"/>
    <n v="14"/>
    <n v="3"/>
    <n v="11"/>
    <n v="0.21428571428571427"/>
    <n v="0.25"/>
    <n v="14"/>
    <n v="18"/>
    <m/>
    <n v="95"/>
    <n v="25"/>
    <n v="8"/>
    <n v="0"/>
    <s v="NA"/>
    <s v="NA"/>
    <n v="0"/>
    <m/>
    <n v="23"/>
    <n v="17"/>
    <n v="19"/>
    <n v="13"/>
    <m/>
    <m/>
    <m/>
    <m/>
    <m/>
    <s v="NA"/>
    <m/>
    <m/>
    <m/>
    <m/>
    <d v="2022-07-05T00:00:00"/>
    <m/>
  </r>
  <r>
    <x v="2"/>
    <s v="SKJ6"/>
    <x v="2"/>
    <n v="1"/>
    <s v="NA"/>
    <s v="NA"/>
    <n v="42"/>
    <n v="5"/>
    <n v="37"/>
    <n v="0.11904761904761904"/>
    <n v="0.25"/>
    <n v="42"/>
    <n v="21.5"/>
    <m/>
    <n v="99"/>
    <n v="30"/>
    <n v="2"/>
    <n v="6"/>
    <s v="Mjødurt"/>
    <s v="krusfrø"/>
    <n v="10"/>
    <m/>
    <n v="24"/>
    <n v="15"/>
    <n v="18"/>
    <n v="29"/>
    <m/>
    <m/>
    <m/>
    <m/>
    <m/>
    <s v="NA"/>
    <m/>
    <m/>
    <m/>
    <m/>
    <d v="2022-07-05T00:00:00"/>
    <m/>
  </r>
  <r>
    <x v="2"/>
    <s v="SKJ7"/>
    <x v="2"/>
    <n v="1"/>
    <s v="NA"/>
    <s v="NA"/>
    <n v="3"/>
    <n v="1"/>
    <n v="2"/>
    <n v="0.33333333333333331"/>
    <n v="0.25"/>
    <n v="3"/>
    <n v="17.25"/>
    <m/>
    <n v="88"/>
    <n v="25"/>
    <n v="6"/>
    <n v="1"/>
    <s v="Mjødurt"/>
    <s v="krusfrø"/>
    <n v="1"/>
    <m/>
    <n v="18"/>
    <n v="17"/>
    <n v="14"/>
    <n v="20"/>
    <m/>
    <m/>
    <m/>
    <m/>
    <m/>
    <s v="NA"/>
    <m/>
    <m/>
    <m/>
    <m/>
    <d v="2022-07-05T00:00:00"/>
    <m/>
  </r>
  <r>
    <x v="2"/>
    <s v="SKJ8"/>
    <x v="2"/>
    <n v="1"/>
    <s v="NA"/>
    <s v="NA"/>
    <n v="0"/>
    <n v="0"/>
    <n v="0"/>
    <s v="NA"/>
    <n v="0.25"/>
    <n v="0"/>
    <n v="21.75"/>
    <m/>
    <n v="97"/>
    <n v="7"/>
    <n v="5"/>
    <n v="1"/>
    <s v="Pors"/>
    <s v="krusfrø"/>
    <n v="3"/>
    <m/>
    <n v="18"/>
    <n v="17"/>
    <n v="23"/>
    <n v="29"/>
    <m/>
    <m/>
    <m/>
    <m/>
    <m/>
    <s v="NA"/>
    <m/>
    <m/>
    <m/>
    <m/>
    <d v="2022-07-05T00:00:00"/>
    <m/>
  </r>
  <r>
    <x v="2"/>
    <s v="SKJ9"/>
    <x v="2"/>
    <n v="1"/>
    <s v="NA"/>
    <s v="NA"/>
    <n v="6"/>
    <n v="0"/>
    <n v="6"/>
    <n v="0"/>
    <n v="0.25"/>
    <n v="6"/>
    <n v="25.25"/>
    <m/>
    <n v="99"/>
    <n v="2"/>
    <n v="6"/>
    <n v="0"/>
    <s v="NA"/>
    <s v="krusfrø"/>
    <n v="5"/>
    <m/>
    <n v="20"/>
    <n v="21"/>
    <n v="37"/>
    <n v="23"/>
    <m/>
    <m/>
    <m/>
    <m/>
    <m/>
    <s v="NA"/>
    <m/>
    <m/>
    <m/>
    <m/>
    <d v="2022-07-05T00:00:00"/>
    <m/>
  </r>
  <r>
    <x v="2"/>
    <s v="SKJ1"/>
    <x v="3"/>
    <n v="1"/>
    <s v="NA"/>
    <s v="NA"/>
    <n v="0"/>
    <n v="0"/>
    <n v="0"/>
    <s v="NA"/>
    <n v="0.25"/>
    <n v="0"/>
    <n v="12.75"/>
    <n v="18"/>
    <n v="90"/>
    <n v="25"/>
    <n v="12"/>
    <n v="0"/>
    <s v="NA"/>
    <s v="hjertegras"/>
    <n v="5"/>
    <m/>
    <n v="10"/>
    <n v="10"/>
    <n v="16"/>
    <n v="15"/>
    <n v="13"/>
    <n v="23"/>
    <m/>
    <m/>
    <m/>
    <s v="NA"/>
    <m/>
    <s v="slått"/>
    <m/>
    <m/>
    <d v="2022-07-05T00:00:00"/>
    <m/>
  </r>
  <r>
    <x v="2"/>
    <s v="SKJ10"/>
    <x v="3"/>
    <n v="1"/>
    <s v="TR4"/>
    <n v="7"/>
    <n v="11"/>
    <n v="3"/>
    <n v="8"/>
    <n v="0.27272727272727271"/>
    <n v="0.25"/>
    <n v="11"/>
    <n v="28.25"/>
    <n v="19.5"/>
    <n v="100"/>
    <n v="0"/>
    <n v="2"/>
    <n v="40"/>
    <s v="pors"/>
    <s v="Bukkebeinurt"/>
    <n v="1"/>
    <m/>
    <n v="28"/>
    <n v="30"/>
    <n v="34"/>
    <n v="21"/>
    <n v="23"/>
    <n v="16"/>
    <m/>
    <m/>
    <m/>
    <s v="NA"/>
    <m/>
    <s v="slått"/>
    <m/>
    <m/>
    <d v="2022-07-05T00:00:00"/>
    <m/>
  </r>
  <r>
    <x v="2"/>
    <s v="SKJ11"/>
    <x v="3"/>
    <n v="1"/>
    <s v="TR3"/>
    <n v="3"/>
    <n v="31"/>
    <n v="8"/>
    <n v="23"/>
    <n v="0.25806451612903225"/>
    <n v="0.25"/>
    <n v="31"/>
    <n v="18.75"/>
    <n v="29.75"/>
    <n v="96"/>
    <n v="1"/>
    <n v="16"/>
    <n v="0"/>
    <s v="NA"/>
    <s v="hjertegras+bukkebeinurt+krusfrø"/>
    <s v="5+1+0.1"/>
    <m/>
    <n v="15"/>
    <n v="18"/>
    <n v="23"/>
    <n v="19"/>
    <n v="30.5"/>
    <n v="29"/>
    <m/>
    <m/>
    <m/>
    <s v="NA"/>
    <m/>
    <s v="slått"/>
    <m/>
    <m/>
    <d v="2022-07-05T00:00:00"/>
    <m/>
  </r>
  <r>
    <x v="2"/>
    <s v="SKJ12"/>
    <x v="3"/>
    <n v="1"/>
    <s v="NA"/>
    <s v="NA"/>
    <n v="10"/>
    <n v="0"/>
    <n v="10"/>
    <n v="0"/>
    <n v="0.25"/>
    <n v="10"/>
    <n v="27.5"/>
    <n v="21"/>
    <n v="100"/>
    <n v="1"/>
    <n v="15"/>
    <s v="50+2"/>
    <s v="pors+mjødurt"/>
    <s v="krusfrø"/>
    <n v="8"/>
    <m/>
    <n v="23"/>
    <n v="32"/>
    <n v="26"/>
    <n v="29"/>
    <n v="30"/>
    <n v="12"/>
    <m/>
    <m/>
    <m/>
    <s v="NA"/>
    <m/>
    <s v="slått"/>
    <m/>
    <m/>
    <d v="2022-07-05T00:00:00"/>
    <m/>
  </r>
  <r>
    <x v="2"/>
    <s v="SKJ13"/>
    <x v="3"/>
    <n v="0"/>
    <s v="TR1"/>
    <n v="5"/>
    <n v="40"/>
    <n v="11"/>
    <n v="29"/>
    <n v="0.27500000000000002"/>
    <n v="0.25"/>
    <n v="40"/>
    <n v="23.25"/>
    <n v="27.5"/>
    <n v="98"/>
    <n v="6"/>
    <n v="10"/>
    <s v="18+6+4"/>
    <s v="salix sp.+strandkvann+mjødurt"/>
    <s v="krusfrø"/>
    <n v="2"/>
    <m/>
    <n v="20"/>
    <n v="24"/>
    <n v="27"/>
    <n v="22"/>
    <n v="38"/>
    <n v="17"/>
    <m/>
    <m/>
    <m/>
    <s v="NA"/>
    <m/>
    <s v="slått"/>
    <m/>
    <m/>
    <d v="2022-07-05T00:00:00"/>
    <m/>
  </r>
  <r>
    <x v="2"/>
    <s v="SKJ14"/>
    <x v="3"/>
    <n v="0"/>
    <s v="TR1"/>
    <n v="15"/>
    <n v="0"/>
    <n v="0"/>
    <n v="0"/>
    <s v="NA"/>
    <n v="0.25"/>
    <n v="0"/>
    <n v="30"/>
    <n v="26.25"/>
    <n v="100"/>
    <s v="NA"/>
    <s v="NA"/>
    <s v="22+8+4"/>
    <s v="Pors+Mjødurt+Myrtistel"/>
    <s v="krusfrø"/>
    <n v="25"/>
    <m/>
    <n v="38"/>
    <n v="32"/>
    <n v="28"/>
    <n v="22"/>
    <n v="31"/>
    <n v="21.5"/>
    <m/>
    <m/>
    <m/>
    <s v="NA"/>
    <m/>
    <s v="slått"/>
    <m/>
    <m/>
    <d v="2022-07-05T00:00:00"/>
    <m/>
  </r>
  <r>
    <x v="2"/>
    <s v="SKJ15"/>
    <x v="3"/>
    <n v="0"/>
    <s v="TR1"/>
    <n v="25"/>
    <n v="0"/>
    <n v="0"/>
    <n v="0"/>
    <s v="NA"/>
    <n v="0.25"/>
    <n v="0"/>
    <n v="29.5"/>
    <n v="11.5"/>
    <n v="90"/>
    <n v="0"/>
    <n v="25"/>
    <n v="75"/>
    <s v="slåpetorn"/>
    <s v="krattalant "/>
    <n v="20"/>
    <m/>
    <n v="29"/>
    <n v="37"/>
    <n v="36"/>
    <n v="16"/>
    <n v="11"/>
    <n v="12"/>
    <m/>
    <m/>
    <m/>
    <s v="NA"/>
    <m/>
    <s v="krattrydding"/>
    <m/>
    <m/>
    <d v="2022-07-05T00:00:00"/>
    <m/>
  </r>
  <r>
    <x v="2"/>
    <s v="SKJ16"/>
    <x v="3"/>
    <n v="0"/>
    <s v="TR1"/>
    <n v="35"/>
    <n v="0"/>
    <n v="0"/>
    <n v="0"/>
    <s v="NA"/>
    <n v="0.25"/>
    <n v="0"/>
    <n v="7.25"/>
    <n v="13.5"/>
    <n v="20"/>
    <n v="15"/>
    <n v="65"/>
    <n v="0"/>
    <s v="NA"/>
    <s v="kystfrøstjerne"/>
    <n v="3"/>
    <s v="Død einer+gress"/>
    <n v="6"/>
    <n v="8"/>
    <n v="8"/>
    <n v="7"/>
    <n v="12"/>
    <n v="15"/>
    <m/>
    <m/>
    <m/>
    <s v="NA"/>
    <m/>
    <s v="krattrydding"/>
    <m/>
    <m/>
    <d v="2022-07-05T00:00:00"/>
    <m/>
  </r>
  <r>
    <x v="2"/>
    <s v="SKJ17"/>
    <x v="3"/>
    <n v="0"/>
    <s v="TR1"/>
    <n v="45"/>
    <n v="0"/>
    <n v="0"/>
    <n v="0"/>
    <s v="NA"/>
    <n v="0.25"/>
    <n v="0"/>
    <n v="3.5"/>
    <n v="4.75"/>
    <n v="40"/>
    <n v="75"/>
    <n v="20"/>
    <n v="4"/>
    <s v="Teiebær"/>
    <s v="kystfrøstjerne"/>
    <n v="8"/>
    <s v="død einer"/>
    <n v="5"/>
    <n v="0"/>
    <n v="0"/>
    <n v="9"/>
    <n v="4"/>
    <n v="5.5"/>
    <m/>
    <m/>
    <m/>
    <s v="NA"/>
    <m/>
    <s v="krattrydding"/>
    <m/>
    <m/>
    <d v="2022-07-05T00:00:00"/>
    <m/>
  </r>
  <r>
    <x v="2"/>
    <s v="SKJ18"/>
    <x v="3"/>
    <n v="0"/>
    <s v="TR2"/>
    <n v="5"/>
    <n v="13"/>
    <n v="1"/>
    <n v="12"/>
    <n v="7.6923076923076927E-2"/>
    <n v="0.25"/>
    <n v="13"/>
    <n v="23.5"/>
    <n v="31"/>
    <n v="95"/>
    <n v="1"/>
    <n v="10"/>
    <n v="25"/>
    <s v="pors"/>
    <s v="krusfrø"/>
    <n v="5"/>
    <m/>
    <n v="25"/>
    <n v="17"/>
    <n v="32"/>
    <n v="20"/>
    <n v="24"/>
    <n v="38"/>
    <m/>
    <m/>
    <m/>
    <s v="NA"/>
    <m/>
    <s v="slått"/>
    <m/>
    <m/>
    <d v="2022-07-05T00:00:00"/>
    <m/>
  </r>
  <r>
    <x v="2"/>
    <s v="SKJ19"/>
    <x v="3"/>
    <n v="0"/>
    <s v="TR2"/>
    <n v="15"/>
    <n v="0"/>
    <n v="0"/>
    <n v="0"/>
    <s v="NA"/>
    <n v="0.25"/>
    <n v="0"/>
    <n v="22"/>
    <n v="30.25"/>
    <n v="85"/>
    <n v="60"/>
    <n v="15"/>
    <s v="23+2"/>
    <s v="pors+myrtistel"/>
    <s v="krusfrø"/>
    <n v="3"/>
    <m/>
    <n v="21"/>
    <n v="28"/>
    <n v="21"/>
    <n v="18"/>
    <n v="27"/>
    <n v="33.5"/>
    <m/>
    <m/>
    <m/>
    <s v="NA"/>
    <m/>
    <s v="slått"/>
    <m/>
    <m/>
    <d v="2022-07-05T00:00:00"/>
    <m/>
  </r>
  <r>
    <x v="2"/>
    <s v="SKJ2"/>
    <x v="3"/>
    <n v="1"/>
    <s v="NA"/>
    <s v="NA"/>
    <n v="0"/>
    <n v="0"/>
    <n v="0"/>
    <s v="NA"/>
    <n v="0.25"/>
    <n v="0"/>
    <n v="14"/>
    <n v="24"/>
    <n v="90"/>
    <n v="50"/>
    <n v="7"/>
    <s v="6+1+.1"/>
    <s v="mjødurt+einer+pors"/>
    <s v="NA"/>
    <n v="0"/>
    <m/>
    <n v="14"/>
    <n v="13"/>
    <n v="17"/>
    <n v="12"/>
    <n v="30.5"/>
    <n v="17.5"/>
    <m/>
    <m/>
    <m/>
    <s v="NA"/>
    <m/>
    <s v="slått"/>
    <m/>
    <m/>
    <d v="2022-07-05T00:00:00"/>
    <m/>
  </r>
  <r>
    <x v="2"/>
    <s v="SKJ20"/>
    <x v="3"/>
    <n v="0"/>
    <s v="TR2"/>
    <n v="25"/>
    <n v="0"/>
    <n v="0"/>
    <n v="0"/>
    <s v="NA"/>
    <n v="0.25"/>
    <n v="0"/>
    <n v="14"/>
    <n v="13"/>
    <n v="80"/>
    <n v="10"/>
    <n v="18"/>
    <n v="0"/>
    <s v="NA"/>
    <s v="krattalant+hjertegras+bukkebeinurt"/>
    <s v="30+1+4"/>
    <m/>
    <n v="13"/>
    <n v="14"/>
    <n v="14"/>
    <n v="15"/>
    <n v="17"/>
    <n v="9"/>
    <m/>
    <m/>
    <m/>
    <s v="NA"/>
    <m/>
    <s v="slått"/>
    <m/>
    <m/>
    <d v="2022-07-05T00:00:00"/>
    <m/>
  </r>
  <r>
    <x v="2"/>
    <s v="SKJ21"/>
    <x v="3"/>
    <n v="0"/>
    <s v="TR2"/>
    <n v="35"/>
    <n v="0"/>
    <n v="0"/>
    <n v="0"/>
    <s v="NA"/>
    <n v="0.25"/>
    <n v="0"/>
    <n v="7.75"/>
    <n v="7"/>
    <n v="50"/>
    <n v="40"/>
    <n v="3"/>
    <n v="22"/>
    <s v="einer"/>
    <s v="hjertegras+kystfrøstjerne"/>
    <s v="1+1"/>
    <m/>
    <n v="4"/>
    <n v="8"/>
    <n v="15"/>
    <n v="4"/>
    <n v="5"/>
    <n v="9"/>
    <m/>
    <m/>
    <m/>
    <s v="NA"/>
    <m/>
    <s v="krattrydding"/>
    <m/>
    <m/>
    <d v="2022-07-05T00:00:00"/>
    <m/>
  </r>
  <r>
    <x v="2"/>
    <s v="SKJ22"/>
    <x v="3"/>
    <n v="0"/>
    <s v="TR2"/>
    <n v="45"/>
    <n v="0"/>
    <n v="0"/>
    <n v="0"/>
    <s v="NA"/>
    <n v="0.25"/>
    <n v="0"/>
    <n v="5.25"/>
    <n v="8.5"/>
    <n v="40"/>
    <n v="75"/>
    <n v="25"/>
    <s v="7+4"/>
    <s v="Einer+Røsslyng"/>
    <s v="NA"/>
    <n v="0"/>
    <s v="mye dødt"/>
    <n v="7"/>
    <n v="2"/>
    <n v="6"/>
    <n v="6"/>
    <n v="10"/>
    <n v="7"/>
    <m/>
    <m/>
    <m/>
    <s v="NA"/>
    <m/>
    <s v="krattrydding"/>
    <m/>
    <m/>
    <d v="2022-07-05T00:00:00"/>
    <m/>
  </r>
  <r>
    <x v="2"/>
    <s v="SKJ23"/>
    <x v="3"/>
    <n v="0"/>
    <s v="TR3"/>
    <n v="13"/>
    <n v="14"/>
    <n v="3"/>
    <n v="11"/>
    <n v="0.21428571428571427"/>
    <n v="0.25"/>
    <n v="14"/>
    <n v="18.25"/>
    <n v="24"/>
    <n v="95"/>
    <n v="1"/>
    <n v="5"/>
    <n v="12"/>
    <s v="mjødurt"/>
    <s v="gulfrøstjerne+bukkebeinurt+krattalant"/>
    <s v="3+2+2"/>
    <m/>
    <n v="10"/>
    <n v="20"/>
    <n v="24"/>
    <n v="19"/>
    <n v="25"/>
    <n v="23"/>
    <m/>
    <m/>
    <m/>
    <s v="NA"/>
    <m/>
    <s v="slått"/>
    <m/>
    <m/>
    <d v="2022-07-05T00:00:00"/>
    <m/>
  </r>
  <r>
    <x v="2"/>
    <s v="SKJ24"/>
    <x v="3"/>
    <n v="0"/>
    <s v="TR3"/>
    <n v="23"/>
    <n v="0"/>
    <n v="0"/>
    <n v="0"/>
    <s v="NA"/>
    <n v="0.25"/>
    <n v="0"/>
    <n v="23.25"/>
    <n v="15.5"/>
    <n v="90"/>
    <n v="1"/>
    <n v="7"/>
    <s v="20+6"/>
    <s v="Mjødurt+strandkvann"/>
    <s v="krattalant+bukkebeinurt"/>
    <s v="2+1"/>
    <s v="slått i dag"/>
    <n v="24"/>
    <n v="22"/>
    <n v="21"/>
    <n v="26"/>
    <n v="16"/>
    <n v="15"/>
    <m/>
    <m/>
    <m/>
    <s v="NA"/>
    <m/>
    <s v="slått"/>
    <m/>
    <m/>
    <d v="2022-07-05T00:00:00"/>
    <m/>
  </r>
  <r>
    <x v="2"/>
    <s v="SKJ25"/>
    <x v="3"/>
    <n v="0"/>
    <s v="TR3"/>
    <n v="33"/>
    <n v="0"/>
    <n v="0"/>
    <n v="0"/>
    <s v="NA"/>
    <n v="0.25"/>
    <n v="0"/>
    <n v="30.25"/>
    <n v="24.75"/>
    <n v="100"/>
    <n v="2"/>
    <n v="10"/>
    <n v="30"/>
    <s v="mjødurt"/>
    <s v="krattalant+bukkebeinurt"/>
    <s v="3+2"/>
    <s v="slått i dag"/>
    <n v="33"/>
    <n v="31"/>
    <n v="27"/>
    <n v="30"/>
    <n v="22.5"/>
    <n v="27"/>
    <m/>
    <m/>
    <m/>
    <s v="NA"/>
    <m/>
    <s v="slått"/>
    <m/>
    <m/>
    <d v="2022-07-05T00:00:00"/>
    <m/>
  </r>
  <r>
    <x v="2"/>
    <s v="SKJ26"/>
    <x v="3"/>
    <n v="0"/>
    <s v="TR4"/>
    <n v="17"/>
    <n v="0"/>
    <n v="0"/>
    <n v="0"/>
    <s v="NA"/>
    <n v="0.25"/>
    <n v="0"/>
    <n v="23.25"/>
    <n v="28.5"/>
    <n v="100"/>
    <n v="5"/>
    <n v="15"/>
    <n v="13"/>
    <s v="mjødurt"/>
    <s v="krattalant+bukkebeinurt"/>
    <s v="3+6"/>
    <m/>
    <n v="22"/>
    <n v="24"/>
    <n v="20"/>
    <n v="27"/>
    <n v="29"/>
    <n v="28"/>
    <m/>
    <m/>
    <m/>
    <s v="NA"/>
    <m/>
    <s v="slått"/>
    <m/>
    <m/>
    <d v="2022-07-05T00:00:00"/>
    <m/>
  </r>
  <r>
    <x v="2"/>
    <s v="SKJ27"/>
    <x v="3"/>
    <n v="0"/>
    <s v="TR4"/>
    <n v="27"/>
    <n v="0"/>
    <n v="0"/>
    <n v="0"/>
    <s v="NA"/>
    <n v="0.25"/>
    <n v="0"/>
    <n v="17.5"/>
    <n v="33"/>
    <n v="95"/>
    <n v="3"/>
    <n v="7"/>
    <s v="7+5+1"/>
    <s v="svartor+mjødurt+strandkvann"/>
    <s v="Bukkebeinurt"/>
    <n v="1"/>
    <m/>
    <n v="15"/>
    <n v="18"/>
    <n v="21"/>
    <n v="16"/>
    <n v="35"/>
    <n v="31"/>
    <m/>
    <m/>
    <m/>
    <s v="NA"/>
    <m/>
    <s v="slått"/>
    <m/>
    <m/>
    <d v="2022-07-05T00:00:00"/>
    <m/>
  </r>
  <r>
    <x v="2"/>
    <s v="SKJ3"/>
    <x v="3"/>
    <n v="1"/>
    <s v="NA"/>
    <s v="NA"/>
    <n v="45"/>
    <n v="15"/>
    <n v="30"/>
    <n v="0.33333333333333331"/>
    <n v="0.25"/>
    <n v="45"/>
    <n v="18.25"/>
    <n v="31.25"/>
    <n v="85"/>
    <n v="3"/>
    <n v="15"/>
    <s v="3+1"/>
    <s v="Mjødurt+strandkjeks"/>
    <s v="krusfrø"/>
    <n v="1"/>
    <m/>
    <n v="15"/>
    <n v="17"/>
    <n v="25"/>
    <n v="16"/>
    <n v="38"/>
    <n v="24.5"/>
    <m/>
    <m/>
    <m/>
    <s v="NA"/>
    <m/>
    <s v="slått"/>
    <m/>
    <m/>
    <d v="2022-07-05T00:00:00"/>
    <m/>
  </r>
  <r>
    <x v="2"/>
    <s v="SKJ4"/>
    <x v="3"/>
    <n v="1"/>
    <s v="NA"/>
    <s v="NA"/>
    <n v="113"/>
    <n v="40"/>
    <n v="73"/>
    <n v="0.35398230088495575"/>
    <n v="0.25"/>
    <n v="113"/>
    <n v="20.25"/>
    <n v="29"/>
    <n v="100"/>
    <s v="NA"/>
    <s v="NA"/>
    <s v="4+5"/>
    <s v="Mjødurt+strandkjeks"/>
    <s v="hjertegras"/>
    <n v="4"/>
    <m/>
    <n v="23"/>
    <n v="11"/>
    <n v="21"/>
    <n v="26"/>
    <n v="21"/>
    <n v="37"/>
    <m/>
    <m/>
    <m/>
    <s v="NA"/>
    <m/>
    <s v="slått"/>
    <m/>
    <m/>
    <d v="2022-07-05T00:00:00"/>
    <m/>
  </r>
  <r>
    <x v="2"/>
    <s v="SKJ5"/>
    <x v="3"/>
    <n v="1"/>
    <s v="NA"/>
    <s v="NA"/>
    <n v="67"/>
    <n v="25"/>
    <n v="42"/>
    <n v="0.37313432835820898"/>
    <n v="0.25"/>
    <n v="67"/>
    <n v="17.75"/>
    <n v="38"/>
    <n v="98"/>
    <n v="10"/>
    <n v="2"/>
    <n v="12"/>
    <s v="mjødurt"/>
    <s v="NA"/>
    <n v="0"/>
    <s v="tråkkspor"/>
    <n v="13"/>
    <n v="12"/>
    <n v="29"/>
    <n v="17"/>
    <n v="38"/>
    <n v="38"/>
    <m/>
    <m/>
    <m/>
    <s v="NA"/>
    <m/>
    <s v="slått"/>
    <m/>
    <m/>
    <d v="2022-07-05T00:00:00"/>
    <m/>
  </r>
  <r>
    <x v="2"/>
    <s v="SKJ6"/>
    <x v="3"/>
    <n v="1"/>
    <s v="NA"/>
    <s v="NA"/>
    <n v="87"/>
    <n v="25"/>
    <n v="62"/>
    <n v="0.28735632183908044"/>
    <n v="0.25"/>
    <n v="87"/>
    <n v="22.5"/>
    <n v="38"/>
    <n v="98"/>
    <n v="25"/>
    <n v="5"/>
    <n v="15"/>
    <s v="mjødurt"/>
    <s v="krusfrø"/>
    <n v="10"/>
    <m/>
    <n v="28"/>
    <n v="19"/>
    <n v="21"/>
    <n v="22"/>
    <n v="38"/>
    <n v="38"/>
    <m/>
    <m/>
    <m/>
    <s v="NA"/>
    <m/>
    <s v="slått"/>
    <m/>
    <m/>
    <d v="2022-07-05T00:00:00"/>
    <m/>
  </r>
  <r>
    <x v="2"/>
    <s v="SKJ7"/>
    <x v="3"/>
    <n v="1"/>
    <s v="NA"/>
    <s v="NA"/>
    <n v="6"/>
    <n v="2"/>
    <n v="4"/>
    <n v="0.33333333333333331"/>
    <n v="0.25"/>
    <n v="6"/>
    <n v="16.25"/>
    <n v="36.75"/>
    <n v="95"/>
    <n v="12"/>
    <n v="7"/>
    <n v="2"/>
    <s v="mjødurt"/>
    <s v="krusfrø"/>
    <n v="2"/>
    <m/>
    <n v="12"/>
    <n v="17"/>
    <n v="17"/>
    <n v="19"/>
    <n v="38"/>
    <n v="35.5"/>
    <m/>
    <m/>
    <m/>
    <s v="NA"/>
    <m/>
    <s v="slått"/>
    <m/>
    <m/>
    <d v="2022-07-05T00:00:00"/>
    <m/>
  </r>
  <r>
    <x v="2"/>
    <s v="SKJ8"/>
    <x v="3"/>
    <n v="1"/>
    <s v="NA"/>
    <s v="NA"/>
    <n v="0"/>
    <n v="0"/>
    <n v="0"/>
    <s v="NA"/>
    <n v="0.25"/>
    <n v="0"/>
    <n v="22"/>
    <n v="38"/>
    <n v="94"/>
    <n v="4"/>
    <n v="9"/>
    <n v="13"/>
    <s v="pors"/>
    <s v="krusfrø"/>
    <n v="9"/>
    <m/>
    <n v="28"/>
    <n v="16"/>
    <n v="21"/>
    <n v="23"/>
    <n v="38"/>
    <n v="38"/>
    <m/>
    <m/>
    <m/>
    <s v="NA"/>
    <m/>
    <s v="slått"/>
    <m/>
    <m/>
    <d v="2022-07-05T00:00:00"/>
    <m/>
  </r>
  <r>
    <x v="2"/>
    <s v="SKJ9"/>
    <x v="3"/>
    <n v="1"/>
    <s v="NA"/>
    <s v="NA"/>
    <n v="11"/>
    <n v="1"/>
    <n v="10"/>
    <n v="9.0909090909090912E-2"/>
    <n v="0.25"/>
    <n v="11"/>
    <n v="22"/>
    <n v="33.5"/>
    <n v="97"/>
    <n v="1"/>
    <n v="2"/>
    <n v="6"/>
    <s v="pors"/>
    <s v="krusfrø"/>
    <n v="24"/>
    <s v="tråkkspor"/>
    <n v="20"/>
    <n v="27"/>
    <n v="14"/>
    <n v="27"/>
    <n v="38"/>
    <n v="29"/>
    <m/>
    <m/>
    <m/>
    <s v="NA"/>
    <m/>
    <s v="slått"/>
    <m/>
    <m/>
    <d v="2022-07-05T00:00:00"/>
    <m/>
  </r>
  <r>
    <x v="3"/>
    <s v="TEN1"/>
    <x v="4"/>
    <n v="1"/>
    <s v="NA"/>
    <s v="NA"/>
    <n v="12"/>
    <n v="3"/>
    <n v="9"/>
    <n v="0.25"/>
    <n v="0.25"/>
    <n v="12"/>
    <n v="3"/>
    <m/>
    <n v="80"/>
    <m/>
    <m/>
    <m/>
    <m/>
    <m/>
    <m/>
    <m/>
    <m/>
    <m/>
    <m/>
    <m/>
    <m/>
    <m/>
    <m/>
    <s v="TEN.1.A"/>
    <n v="1.0833333333333333"/>
    <n v="491.83333333333331"/>
    <n v="18.5"/>
    <m/>
    <m/>
    <m/>
    <m/>
    <m/>
  </r>
  <r>
    <x v="3"/>
    <s v="TEN10"/>
    <x v="4"/>
    <n v="1"/>
    <s v="NA"/>
    <s v="NA"/>
    <n v="21"/>
    <n v="2"/>
    <n v="19"/>
    <n v="9.5238095238095233E-2"/>
    <n v="0.25"/>
    <n v="21"/>
    <n v="3"/>
    <m/>
    <n v="96"/>
    <m/>
    <m/>
    <m/>
    <m/>
    <m/>
    <m/>
    <m/>
    <m/>
    <m/>
    <m/>
    <m/>
    <m/>
    <m/>
    <m/>
    <s v="TEN.10.A"/>
    <n v="0.61904761904761907"/>
    <n v="342.76190476190476"/>
    <n v="14.7"/>
    <m/>
    <m/>
    <m/>
    <m/>
    <m/>
  </r>
  <r>
    <x v="3"/>
    <s v="TEN2"/>
    <x v="4"/>
    <n v="1"/>
    <s v="NA"/>
    <s v="NA"/>
    <n v="16"/>
    <n v="1"/>
    <n v="15"/>
    <n v="6.25E-2"/>
    <n v="0.25"/>
    <n v="16"/>
    <n v="4"/>
    <m/>
    <n v="85"/>
    <m/>
    <m/>
    <m/>
    <m/>
    <m/>
    <m/>
    <m/>
    <m/>
    <m/>
    <m/>
    <m/>
    <m/>
    <m/>
    <m/>
    <s v="TEN.2.A"/>
    <n v="6.25E-2"/>
    <n v="576.5625"/>
    <n v="7.7"/>
    <m/>
    <m/>
    <m/>
    <m/>
    <m/>
  </r>
  <r>
    <x v="3"/>
    <s v="TEN3"/>
    <x v="4"/>
    <n v="1"/>
    <s v="NA"/>
    <s v="NA"/>
    <n v="91"/>
    <n v="0"/>
    <n v="91"/>
    <n v="0"/>
    <n v="1.5625E-2"/>
    <n v="1456"/>
    <n v="3"/>
    <m/>
    <n v="95"/>
    <m/>
    <m/>
    <m/>
    <m/>
    <m/>
    <m/>
    <m/>
    <m/>
    <m/>
    <m/>
    <m/>
    <m/>
    <m/>
    <m/>
    <s v="TEN.3.A"/>
    <n v="0.5714285714285714"/>
    <n v="99.07692307692308"/>
    <n v="12.9"/>
    <m/>
    <m/>
    <m/>
    <m/>
    <m/>
  </r>
  <r>
    <x v="3"/>
    <s v="TEN4"/>
    <x v="4"/>
    <n v="1"/>
    <s v="NA"/>
    <s v="NA"/>
    <n v="54"/>
    <n v="0"/>
    <n v="54"/>
    <n v="0"/>
    <n v="6.25E-2"/>
    <n v="216"/>
    <n v="4"/>
    <m/>
    <n v="97"/>
    <m/>
    <m/>
    <m/>
    <m/>
    <m/>
    <m/>
    <m/>
    <m/>
    <m/>
    <m/>
    <m/>
    <m/>
    <m/>
    <m/>
    <s v="TEN.4.A"/>
    <n v="1"/>
    <n v="278.57407407407408"/>
    <n v="11.7"/>
    <m/>
    <m/>
    <m/>
    <m/>
    <m/>
  </r>
  <r>
    <x v="3"/>
    <s v="TEN5"/>
    <x v="4"/>
    <n v="1"/>
    <s v="NA"/>
    <s v="NA"/>
    <n v="21"/>
    <n v="4"/>
    <n v="17"/>
    <n v="0.19047619047619047"/>
    <n v="0.25"/>
    <n v="21"/>
    <n v="3"/>
    <m/>
    <n v="97"/>
    <m/>
    <m/>
    <m/>
    <m/>
    <m/>
    <m/>
    <m/>
    <m/>
    <m/>
    <m/>
    <m/>
    <m/>
    <m/>
    <m/>
    <s v="TEN.5.A"/>
    <n v="1.0476190476190477"/>
    <n v="486.66666666666669"/>
    <n v="38.6"/>
    <m/>
    <m/>
    <m/>
    <m/>
    <m/>
  </r>
  <r>
    <x v="3"/>
    <s v="TEN6"/>
    <x v="4"/>
    <n v="1"/>
    <s v="NA"/>
    <s v="NA"/>
    <n v="2"/>
    <n v="0"/>
    <n v="2"/>
    <n v="0"/>
    <n v="0.25"/>
    <n v="2"/>
    <n v="5"/>
    <m/>
    <n v="97"/>
    <m/>
    <m/>
    <m/>
    <m/>
    <m/>
    <m/>
    <m/>
    <m/>
    <m/>
    <m/>
    <m/>
    <m/>
    <m/>
    <m/>
    <s v="TEN.6.A"/>
    <n v="1"/>
    <n v="1081.5"/>
    <n v="18"/>
    <m/>
    <m/>
    <m/>
    <m/>
    <m/>
  </r>
  <r>
    <x v="3"/>
    <s v="TEN7"/>
    <x v="4"/>
    <n v="1"/>
    <s v="NA"/>
    <s v="NA"/>
    <n v="8"/>
    <n v="0"/>
    <n v="8"/>
    <n v="0"/>
    <n v="0.25"/>
    <n v="8"/>
    <n v="4"/>
    <m/>
    <n v="90"/>
    <m/>
    <m/>
    <m/>
    <m/>
    <m/>
    <m/>
    <m/>
    <m/>
    <m/>
    <m/>
    <m/>
    <m/>
    <m/>
    <m/>
    <s v="TEN.7.A"/>
    <n v="0.625"/>
    <n v="368.125"/>
    <n v="7.1"/>
    <m/>
    <m/>
    <m/>
    <m/>
    <m/>
  </r>
  <r>
    <x v="3"/>
    <s v="TEN8"/>
    <x v="4"/>
    <n v="1"/>
    <s v="NA"/>
    <s v="NA"/>
    <n v="24"/>
    <n v="1"/>
    <n v="23"/>
    <n v="4.1666666666666664E-2"/>
    <n v="0.25"/>
    <n v="24"/>
    <n v="5"/>
    <m/>
    <n v="95"/>
    <m/>
    <m/>
    <m/>
    <m/>
    <m/>
    <m/>
    <m/>
    <m/>
    <m/>
    <m/>
    <m/>
    <m/>
    <m/>
    <m/>
    <s v="TEN.8.A"/>
    <n v="1.25"/>
    <n v="411.83333333333331"/>
    <n v="25.7"/>
    <m/>
    <m/>
    <m/>
    <m/>
    <m/>
  </r>
  <r>
    <x v="3"/>
    <s v="TEN9"/>
    <x v="4"/>
    <n v="1"/>
    <s v="NA"/>
    <s v="NA"/>
    <n v="1"/>
    <n v="0"/>
    <n v="1"/>
    <n v="0"/>
    <n v="0.25"/>
    <n v="1"/>
    <n v="2"/>
    <m/>
    <n v="90"/>
    <m/>
    <m/>
    <m/>
    <m/>
    <m/>
    <m/>
    <m/>
    <m/>
    <m/>
    <m/>
    <m/>
    <m/>
    <m/>
    <m/>
    <s v="TEN.9.A"/>
    <s v="NA"/>
    <n v="544"/>
    <n v="2.9"/>
    <m/>
    <m/>
    <m/>
    <m/>
    <m/>
  </r>
  <r>
    <x v="3"/>
    <s v="TEN1"/>
    <x v="5"/>
    <n v="1"/>
    <s v="NA"/>
    <s v="NA"/>
    <n v="13"/>
    <n v="0"/>
    <n v="13"/>
    <n v="0"/>
    <n v="0.25"/>
    <n v="13"/>
    <s v="NA"/>
    <m/>
    <s v="NA"/>
    <m/>
    <m/>
    <m/>
    <m/>
    <m/>
    <m/>
    <m/>
    <m/>
    <m/>
    <m/>
    <m/>
    <m/>
    <m/>
    <m/>
    <s v="TEN.1.A"/>
    <n v="0.92307692307692313"/>
    <n v="536.07692307692309"/>
    <s v="NA"/>
    <m/>
    <m/>
    <m/>
    <m/>
    <m/>
  </r>
  <r>
    <x v="3"/>
    <s v="TEN10"/>
    <x v="5"/>
    <n v="1"/>
    <s v="NA"/>
    <s v="NA"/>
    <n v="13"/>
    <n v="0"/>
    <n v="13"/>
    <n v="0"/>
    <n v="0.25"/>
    <n v="13"/>
    <s v="NA"/>
    <m/>
    <s v="NA"/>
    <m/>
    <m/>
    <m/>
    <m/>
    <m/>
    <m/>
    <m/>
    <m/>
    <m/>
    <m/>
    <m/>
    <m/>
    <m/>
    <m/>
    <s v="TEN.10.A"/>
    <n v="0.92307692307692313"/>
    <n v="210.30769230769232"/>
    <s v="NA"/>
    <m/>
    <m/>
    <m/>
    <m/>
    <m/>
  </r>
  <r>
    <x v="3"/>
    <s v="TEN2"/>
    <x v="5"/>
    <n v="1"/>
    <s v="NA"/>
    <s v="NA"/>
    <n v="1"/>
    <n v="0"/>
    <n v="1"/>
    <n v="0"/>
    <n v="0.25"/>
    <n v="1"/>
    <s v="NA"/>
    <m/>
    <s v="NA"/>
    <m/>
    <m/>
    <m/>
    <m/>
    <m/>
    <m/>
    <m/>
    <m/>
    <m/>
    <m/>
    <m/>
    <m/>
    <m/>
    <m/>
    <s v="TEN.2.A"/>
    <s v="NA"/>
    <n v="96"/>
    <s v="NA"/>
    <m/>
    <m/>
    <m/>
    <m/>
    <m/>
  </r>
  <r>
    <x v="3"/>
    <s v="TEN3"/>
    <x v="5"/>
    <n v="1"/>
    <s v="NA"/>
    <s v="NA"/>
    <n v="52"/>
    <n v="0"/>
    <n v="52"/>
    <n v="0"/>
    <n v="1.5625E-2"/>
    <n v="832"/>
    <s v="NA"/>
    <m/>
    <s v="NA"/>
    <m/>
    <m/>
    <m/>
    <m/>
    <m/>
    <m/>
    <m/>
    <m/>
    <m/>
    <m/>
    <m/>
    <m/>
    <m/>
    <m/>
    <s v="TEN.3.A"/>
    <n v="0.53846153846153844"/>
    <s v="NA"/>
    <s v="NA"/>
    <m/>
    <m/>
    <m/>
    <m/>
    <m/>
  </r>
  <r>
    <x v="3"/>
    <s v="TEN4"/>
    <x v="5"/>
    <n v="1"/>
    <s v="NA"/>
    <s v="NA"/>
    <n v="54"/>
    <n v="0"/>
    <n v="54"/>
    <n v="0"/>
    <n v="6.25E-2"/>
    <n v="216"/>
    <s v="NA"/>
    <m/>
    <s v="NA"/>
    <m/>
    <m/>
    <m/>
    <m/>
    <m/>
    <m/>
    <m/>
    <m/>
    <m/>
    <m/>
    <m/>
    <m/>
    <m/>
    <m/>
    <s v="TEN.4.A"/>
    <n v="0.61111111111111116"/>
    <n v="239.77777777777777"/>
    <s v="NA"/>
    <m/>
    <m/>
    <m/>
    <m/>
    <m/>
  </r>
  <r>
    <x v="3"/>
    <s v="TEN5"/>
    <x v="5"/>
    <n v="1"/>
    <s v="NA"/>
    <s v="NA"/>
    <n v="22"/>
    <n v="1"/>
    <n v="21"/>
    <n v="4.5454545454545456E-2"/>
    <n v="0.25"/>
    <n v="22"/>
    <s v="NA"/>
    <m/>
    <s v="NA"/>
    <m/>
    <m/>
    <m/>
    <m/>
    <m/>
    <m/>
    <m/>
    <m/>
    <m/>
    <m/>
    <m/>
    <m/>
    <m/>
    <m/>
    <s v="TEN.5.A"/>
    <n v="1.0909090909090908"/>
    <n v="574.4545454545455"/>
    <s v="NA"/>
    <m/>
    <m/>
    <m/>
    <m/>
    <m/>
  </r>
  <r>
    <x v="3"/>
    <s v="TEN6"/>
    <x v="5"/>
    <n v="1"/>
    <s v="NA"/>
    <s v="NA"/>
    <n v="2"/>
    <n v="0"/>
    <n v="2"/>
    <n v="0"/>
    <n v="0.25"/>
    <n v="2"/>
    <s v="NA"/>
    <m/>
    <s v="NA"/>
    <m/>
    <m/>
    <m/>
    <m/>
    <m/>
    <m/>
    <m/>
    <m/>
    <m/>
    <m/>
    <m/>
    <m/>
    <m/>
    <m/>
    <s v="TEN.6.A"/>
    <n v="5.5"/>
    <n v="806"/>
    <s v="NA"/>
    <m/>
    <m/>
    <m/>
    <m/>
    <m/>
  </r>
  <r>
    <x v="3"/>
    <s v="TEN7"/>
    <x v="5"/>
    <n v="1"/>
    <s v="NA"/>
    <s v="NA"/>
    <n v="5"/>
    <n v="0"/>
    <n v="5"/>
    <n v="0"/>
    <n v="0.25"/>
    <n v="5"/>
    <s v="NA"/>
    <m/>
    <s v="NA"/>
    <m/>
    <m/>
    <m/>
    <m/>
    <m/>
    <m/>
    <s v="Fant kun 2 hjørmer"/>
    <m/>
    <m/>
    <m/>
    <m/>
    <m/>
    <m/>
    <m/>
    <s v="TEN.7.A"/>
    <n v="1.4"/>
    <n v="224.8"/>
    <s v="NA"/>
    <m/>
    <m/>
    <m/>
    <m/>
    <m/>
  </r>
  <r>
    <x v="3"/>
    <s v="TEN8"/>
    <x v="5"/>
    <n v="1"/>
    <s v="NA"/>
    <s v="NA"/>
    <n v="30"/>
    <n v="0"/>
    <n v="30"/>
    <n v="0"/>
    <n v="0.25"/>
    <n v="30"/>
    <s v="NA"/>
    <m/>
    <s v="NA"/>
    <m/>
    <m/>
    <m/>
    <m/>
    <m/>
    <m/>
    <s v="Fant kun ett hjørne, så registrerte ikke"/>
    <m/>
    <m/>
    <m/>
    <m/>
    <m/>
    <m/>
    <m/>
    <s v="TEN.8.A"/>
    <n v="0.73333333333333328"/>
    <n v="360.06666666666666"/>
    <s v="NA"/>
    <m/>
    <m/>
    <m/>
    <m/>
    <m/>
  </r>
  <r>
    <x v="3"/>
    <s v="TEN9"/>
    <x v="5"/>
    <n v="1"/>
    <s v="NA"/>
    <s v="NA"/>
    <n v="0"/>
    <n v="0"/>
    <n v="0"/>
    <s v="NA"/>
    <n v="0.25"/>
    <n v="0"/>
    <s v="NA"/>
    <m/>
    <s v="NA"/>
    <m/>
    <m/>
    <m/>
    <m/>
    <m/>
    <m/>
    <m/>
    <m/>
    <m/>
    <m/>
    <m/>
    <m/>
    <m/>
    <m/>
    <s v="TEN.9.A"/>
    <s v="NA"/>
    <s v="NA"/>
    <s v="NA"/>
    <m/>
    <m/>
    <m/>
    <m/>
    <m/>
  </r>
  <r>
    <x v="3"/>
    <s v="TEN1"/>
    <x v="6"/>
    <n v="1"/>
    <s v="NA"/>
    <s v="NA"/>
    <n v="12"/>
    <n v="2"/>
    <n v="10"/>
    <n v="0.16666666666666666"/>
    <n v="0.25"/>
    <n v="12"/>
    <n v="3.5"/>
    <m/>
    <n v="70"/>
    <m/>
    <m/>
    <m/>
    <m/>
    <m/>
    <m/>
    <m/>
    <m/>
    <m/>
    <m/>
    <m/>
    <m/>
    <m/>
    <m/>
    <s v="TEN.1.A"/>
    <n v="1.25"/>
    <n v="678.91669999999999"/>
    <n v="47.317500000000003"/>
    <m/>
    <m/>
    <m/>
    <m/>
    <m/>
  </r>
  <r>
    <x v="3"/>
    <s v="TEN10"/>
    <x v="6"/>
    <n v="1"/>
    <s v="NA"/>
    <s v="NA"/>
    <n v="12"/>
    <n v="1"/>
    <n v="11"/>
    <n v="8.3333333333333329E-2"/>
    <n v="0.25"/>
    <n v="12"/>
    <n v="1.75"/>
    <m/>
    <n v="70"/>
    <m/>
    <m/>
    <m/>
    <m/>
    <m/>
    <m/>
    <m/>
    <m/>
    <m/>
    <m/>
    <m/>
    <m/>
    <m/>
    <m/>
    <s v="TEN.10.A"/>
    <n v="0.66666666666666663"/>
    <n v="282.41669999999999"/>
    <n v="28.45"/>
    <m/>
    <m/>
    <m/>
    <m/>
    <m/>
  </r>
  <r>
    <x v="3"/>
    <s v="TEN2"/>
    <x v="6"/>
    <n v="1"/>
    <s v="NA"/>
    <s v="NA"/>
    <s v="NA"/>
    <s v="NA"/>
    <s v="NA"/>
    <s v="NA"/>
    <n v="0.25"/>
    <s v="NA"/>
    <n v="3.875"/>
    <m/>
    <n v="60"/>
    <m/>
    <m/>
    <m/>
    <m/>
    <m/>
    <m/>
    <m/>
    <m/>
    <m/>
    <m/>
    <m/>
    <m/>
    <m/>
    <m/>
    <s v="TEN.2.A"/>
    <s v="NA"/>
    <s v="NA"/>
    <n v="35.1"/>
    <m/>
    <m/>
    <m/>
    <m/>
    <m/>
  </r>
  <r>
    <x v="3"/>
    <s v="TEN3"/>
    <x v="6"/>
    <n v="1"/>
    <s v="NA"/>
    <s v="NA"/>
    <n v="28"/>
    <n v="0"/>
    <n v="28"/>
    <n v="0"/>
    <n v="1.5625E-2"/>
    <n v="448"/>
    <n v="1.5"/>
    <m/>
    <n v="100"/>
    <m/>
    <m/>
    <m/>
    <m/>
    <m/>
    <m/>
    <m/>
    <m/>
    <m/>
    <m/>
    <m/>
    <m/>
    <m/>
    <m/>
    <s v="TEN.3.A"/>
    <n v="0.8214285714285714"/>
    <n v="218.67859999999999"/>
    <n v="37.375"/>
    <m/>
    <m/>
    <m/>
    <m/>
    <m/>
  </r>
  <r>
    <x v="3"/>
    <s v="TEN4"/>
    <x v="6"/>
    <n v="1"/>
    <s v="NA"/>
    <s v="NA"/>
    <n v="33"/>
    <n v="1"/>
    <n v="32"/>
    <n v="3.0303030303030304E-2"/>
    <n v="6.25E-2"/>
    <n v="132"/>
    <n v="2.75"/>
    <m/>
    <n v="90"/>
    <m/>
    <m/>
    <m/>
    <m/>
    <m/>
    <m/>
    <m/>
    <m/>
    <m/>
    <m/>
    <m/>
    <m/>
    <m/>
    <m/>
    <s v="TEN.4.A"/>
    <n v="1.1818181818181819"/>
    <n v="259.36360000000002"/>
    <n v="26.675000000000001"/>
    <m/>
    <m/>
    <m/>
    <m/>
    <m/>
  </r>
  <r>
    <x v="3"/>
    <s v="TEN5"/>
    <x v="6"/>
    <n v="1"/>
    <s v="NA"/>
    <s v="NA"/>
    <n v="24"/>
    <n v="4"/>
    <n v="20"/>
    <n v="0.16666666666666666"/>
    <n v="0.25"/>
    <n v="24"/>
    <n v="4.125"/>
    <m/>
    <n v="100"/>
    <m/>
    <m/>
    <m/>
    <m/>
    <m/>
    <m/>
    <m/>
    <m/>
    <m/>
    <m/>
    <m/>
    <m/>
    <m/>
    <m/>
    <s v="TEN.5.A"/>
    <n v="1"/>
    <n v="556.16669999999999"/>
    <n v="54.075000000000003"/>
    <m/>
    <m/>
    <m/>
    <m/>
    <m/>
  </r>
  <r>
    <x v="3"/>
    <s v="TEN6"/>
    <x v="6"/>
    <n v="1"/>
    <s v="NA"/>
    <s v="NA"/>
    <n v="11"/>
    <n v="3"/>
    <n v="8"/>
    <n v="0.27272727272727271"/>
    <n v="0.25"/>
    <n v="11"/>
    <n v="2.25"/>
    <m/>
    <n v="90"/>
    <m/>
    <m/>
    <m/>
    <m/>
    <m/>
    <m/>
    <s v="Fant ikke rute. Manglet god metalldetektor"/>
    <m/>
    <m/>
    <m/>
    <m/>
    <m/>
    <m/>
    <m/>
    <s v="TEN.6.A"/>
    <n v="0.63636363636363635"/>
    <n v="580.54545450000001"/>
    <n v="54.024999999999999"/>
    <m/>
    <m/>
    <m/>
    <m/>
    <m/>
  </r>
  <r>
    <x v="3"/>
    <s v="TEN7"/>
    <x v="6"/>
    <n v="1"/>
    <s v="NA"/>
    <s v="NA"/>
    <n v="7"/>
    <n v="0"/>
    <n v="7"/>
    <n v="0"/>
    <n v="0.25"/>
    <n v="7"/>
    <n v="3.5"/>
    <m/>
    <n v="55"/>
    <m/>
    <m/>
    <m/>
    <m/>
    <m/>
    <m/>
    <s v="Fant 3 hjørner"/>
    <m/>
    <m/>
    <m/>
    <m/>
    <m/>
    <m/>
    <m/>
    <s v="TEN.7.A"/>
    <n v="0.14285714285714285"/>
    <n v="182.28569999999999"/>
    <n v="7.45"/>
    <m/>
    <m/>
    <m/>
    <m/>
    <m/>
  </r>
  <r>
    <x v="3"/>
    <s v="TEN8"/>
    <x v="6"/>
    <n v="1"/>
    <s v="NA"/>
    <s v="NA"/>
    <n v="22"/>
    <n v="0"/>
    <n v="22"/>
    <n v="0"/>
    <n v="0.25"/>
    <n v="22"/>
    <n v="4.5"/>
    <m/>
    <n v="95"/>
    <m/>
    <m/>
    <m/>
    <m/>
    <m/>
    <m/>
    <m/>
    <m/>
    <m/>
    <m/>
    <m/>
    <m/>
    <m/>
    <m/>
    <s v="TEN.8.A"/>
    <n v="0.59090909090909094"/>
    <n v="459.27269999999999"/>
    <n v="34.299999999999997"/>
    <m/>
    <m/>
    <m/>
    <m/>
    <m/>
  </r>
  <r>
    <x v="3"/>
    <s v="TEN9"/>
    <x v="6"/>
    <n v="1"/>
    <s v="NA"/>
    <s v="NA"/>
    <s v="NA"/>
    <s v="NA"/>
    <s v="NA"/>
    <s v="NA"/>
    <n v="0.25"/>
    <s v="NA"/>
    <n v="1.625"/>
    <m/>
    <n v="50"/>
    <m/>
    <m/>
    <m/>
    <m/>
    <m/>
    <m/>
    <m/>
    <m/>
    <m/>
    <m/>
    <m/>
    <m/>
    <m/>
    <m/>
    <s v="TEN.9.A"/>
    <s v="NA"/>
    <s v="NA"/>
    <n v="15.525"/>
    <m/>
    <m/>
    <m/>
    <m/>
    <m/>
  </r>
  <r>
    <x v="3"/>
    <s v="TEN1"/>
    <x v="7"/>
    <n v="1"/>
    <s v="NA"/>
    <s v="NA"/>
    <n v="15"/>
    <n v="1"/>
    <n v="14"/>
    <n v="6.6666666666666666E-2"/>
    <n v="0.25"/>
    <n v="15"/>
    <n v="5"/>
    <m/>
    <n v="80"/>
    <m/>
    <m/>
    <m/>
    <m/>
    <m/>
    <m/>
    <m/>
    <m/>
    <m/>
    <m/>
    <m/>
    <m/>
    <m/>
    <m/>
    <s v="TEN.1.A"/>
    <n v="0.6"/>
    <n v="508.4"/>
    <n v="31.824999999999999"/>
    <m/>
    <m/>
    <m/>
    <m/>
    <m/>
  </r>
  <r>
    <x v="3"/>
    <s v="TEN10"/>
    <x v="7"/>
    <n v="1"/>
    <s v="NA"/>
    <s v="NA"/>
    <n v="8"/>
    <n v="1"/>
    <n v="7"/>
    <n v="0.125"/>
    <n v="0.25"/>
    <n v="8"/>
    <n v="2.625"/>
    <m/>
    <n v="80"/>
    <m/>
    <m/>
    <m/>
    <m/>
    <m/>
    <m/>
    <m/>
    <m/>
    <m/>
    <m/>
    <m/>
    <m/>
    <m/>
    <m/>
    <s v="TEN.10.A"/>
    <s v="NA"/>
    <n v="261.5"/>
    <n v="8.75"/>
    <m/>
    <m/>
    <m/>
    <m/>
    <m/>
  </r>
  <r>
    <x v="3"/>
    <s v="TEN2"/>
    <x v="7"/>
    <n v="1"/>
    <s v="NA"/>
    <s v="NA"/>
    <s v="NA"/>
    <s v="NA"/>
    <s v="NA"/>
    <s v="NA"/>
    <n v="0.25"/>
    <s v="NA"/>
    <n v="6"/>
    <m/>
    <n v="60"/>
    <m/>
    <m/>
    <m/>
    <m/>
    <m/>
    <m/>
    <m/>
    <m/>
    <m/>
    <m/>
    <m/>
    <m/>
    <m/>
    <m/>
    <s v="TEN.2.A"/>
    <s v="NA"/>
    <s v="NA"/>
    <n v="9.65"/>
    <m/>
    <m/>
    <m/>
    <m/>
    <m/>
  </r>
  <r>
    <x v="3"/>
    <s v="TEN3"/>
    <x v="7"/>
    <n v="1"/>
    <s v="NA"/>
    <s v="NA"/>
    <n v="23"/>
    <n v="0"/>
    <n v="23"/>
    <n v="0"/>
    <n v="1.5625E-2"/>
    <n v="368"/>
    <n v="2.875"/>
    <m/>
    <n v="80"/>
    <m/>
    <m/>
    <m/>
    <m/>
    <m/>
    <m/>
    <m/>
    <m/>
    <m/>
    <m/>
    <m/>
    <m/>
    <m/>
    <m/>
    <s v="TEN.3.A"/>
    <n v="8.9673913043478257E-2"/>
    <n v="201.92"/>
    <n v="18.149999999999999"/>
    <m/>
    <m/>
    <m/>
    <m/>
    <m/>
  </r>
  <r>
    <x v="3"/>
    <s v="TEN4"/>
    <x v="7"/>
    <n v="1"/>
    <s v="NA"/>
    <s v="NA"/>
    <n v="39"/>
    <n v="1"/>
    <n v="38"/>
    <n v="2.564102564102564E-2"/>
    <n v="6.25E-2"/>
    <n v="156"/>
    <n v="4.375"/>
    <m/>
    <n v="85"/>
    <m/>
    <m/>
    <m/>
    <m/>
    <m/>
    <m/>
    <s v="Fant ikke rute. Manglet god metalldetektor"/>
    <m/>
    <m/>
    <m/>
    <m/>
    <m/>
    <m/>
    <m/>
    <s v="TEN.4.A"/>
    <n v="0.26923076923076922"/>
    <n v="280.82051282051282"/>
    <n v="8.4499999999999993"/>
    <m/>
    <m/>
    <m/>
    <m/>
    <m/>
  </r>
  <r>
    <x v="3"/>
    <s v="TEN5"/>
    <x v="7"/>
    <n v="1"/>
    <s v="NA"/>
    <s v="NA"/>
    <n v="24"/>
    <n v="3"/>
    <n v="21"/>
    <n v="0.125"/>
    <n v="0.25"/>
    <n v="24"/>
    <n v="14.125"/>
    <m/>
    <n v="100"/>
    <m/>
    <m/>
    <m/>
    <m/>
    <m/>
    <m/>
    <m/>
    <m/>
    <m/>
    <m/>
    <m/>
    <m/>
    <m/>
    <m/>
    <s v="TEN.5.A"/>
    <n v="0.33333333333333331"/>
    <n v="670.375"/>
    <n v="14.125"/>
    <m/>
    <m/>
    <m/>
    <m/>
    <m/>
  </r>
  <r>
    <x v="3"/>
    <s v="TEN6"/>
    <x v="7"/>
    <n v="1"/>
    <s v="NA"/>
    <s v="NA"/>
    <n v="7"/>
    <n v="0"/>
    <n v="7"/>
    <n v="0"/>
    <n v="0.25"/>
    <n v="7"/>
    <n v="5.875"/>
    <m/>
    <n v="95"/>
    <m/>
    <m/>
    <m/>
    <m/>
    <m/>
    <m/>
    <s v="Fant ikke rute. Manglet god metalldetektor"/>
    <m/>
    <m/>
    <m/>
    <m/>
    <m/>
    <m/>
    <m/>
    <s v="TEN.6.A"/>
    <s v="NA"/>
    <n v="526.28571428571433"/>
    <n v="18.5"/>
    <m/>
    <m/>
    <m/>
    <m/>
    <m/>
  </r>
  <r>
    <x v="3"/>
    <s v="TEN7"/>
    <x v="7"/>
    <n v="1"/>
    <s v="NA"/>
    <s v="NA"/>
    <n v="1"/>
    <n v="0"/>
    <n v="1"/>
    <n v="0"/>
    <n v="0.25"/>
    <n v="1"/>
    <n v="1.875"/>
    <m/>
    <n v="60"/>
    <m/>
    <m/>
    <m/>
    <m/>
    <m/>
    <m/>
    <m/>
    <m/>
    <m/>
    <m/>
    <m/>
    <m/>
    <m/>
    <m/>
    <s v="TEN.7.A"/>
    <s v="NA"/>
    <n v="280"/>
    <n v="0.45"/>
    <m/>
    <m/>
    <m/>
    <m/>
    <m/>
  </r>
  <r>
    <x v="3"/>
    <s v="TEN8"/>
    <x v="7"/>
    <n v="1"/>
    <s v="NA"/>
    <s v="NA"/>
    <n v="13"/>
    <n v="1"/>
    <n v="12"/>
    <n v="7.6923076923076927E-2"/>
    <n v="0.25"/>
    <n v="13"/>
    <n v="2.625"/>
    <m/>
    <n v="95"/>
    <m/>
    <m/>
    <m/>
    <m/>
    <m/>
    <m/>
    <m/>
    <m/>
    <m/>
    <m/>
    <m/>
    <m/>
    <m/>
    <m/>
    <s v="TEN.8.A"/>
    <n v="0.46153846153846156"/>
    <n v="354.53846153846155"/>
    <n v="8.0749999999999993"/>
    <m/>
    <m/>
    <m/>
    <m/>
    <m/>
  </r>
  <r>
    <x v="3"/>
    <s v="TEN9"/>
    <x v="7"/>
    <n v="1"/>
    <s v="NA"/>
    <s v="NA"/>
    <s v="NA"/>
    <s v="NA"/>
    <s v="NA"/>
    <s v="NA"/>
    <n v="0.25"/>
    <s v="NA"/>
    <n v="1.375"/>
    <m/>
    <n v="50"/>
    <m/>
    <m/>
    <m/>
    <m/>
    <m/>
    <m/>
    <m/>
    <m/>
    <m/>
    <m/>
    <m/>
    <m/>
    <m/>
    <m/>
    <s v="TEN.9.A"/>
    <s v="NA"/>
    <s v="NA"/>
    <n v="2.1749999999999998"/>
    <m/>
    <m/>
    <m/>
    <m/>
    <m/>
  </r>
  <r>
    <x v="3"/>
    <s v="TEN1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TEN.1.A"/>
    <s v="NA"/>
    <s v="NA"/>
    <s v="NA"/>
    <m/>
    <m/>
    <m/>
    <m/>
    <m/>
  </r>
  <r>
    <x v="3"/>
    <s v="TEN10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TEN.10.A"/>
    <s v="NA"/>
    <s v="NA"/>
    <s v="NA"/>
    <m/>
    <m/>
    <m/>
    <m/>
    <m/>
  </r>
  <r>
    <x v="3"/>
    <s v="TEN2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TEN.2.A"/>
    <s v="NA"/>
    <s v="NA"/>
    <s v="NA"/>
    <m/>
    <m/>
    <m/>
    <m/>
    <m/>
  </r>
  <r>
    <x v="3"/>
    <s v="TEN3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TEN.3.A"/>
    <s v="NA"/>
    <s v="NA"/>
    <s v="NA"/>
    <m/>
    <m/>
    <m/>
    <m/>
    <m/>
  </r>
  <r>
    <x v="3"/>
    <s v="TEN4"/>
    <x v="8"/>
    <n v="1"/>
    <s v="NA"/>
    <s v="NA"/>
    <s v="NA"/>
    <s v="NA"/>
    <s v="NA"/>
    <s v="NA"/>
    <s v="NA"/>
    <s v="NA"/>
    <s v="NA"/>
    <m/>
    <s v="NA"/>
    <m/>
    <m/>
    <m/>
    <m/>
    <m/>
    <m/>
    <s v="Fant ikke rute. Manglet god metalldetektor"/>
    <m/>
    <m/>
    <m/>
    <m/>
    <m/>
    <m/>
    <m/>
    <s v="TEN.4.A"/>
    <s v="NA"/>
    <s v="NA"/>
    <s v="NA"/>
    <m/>
    <m/>
    <m/>
    <m/>
    <m/>
  </r>
  <r>
    <x v="3"/>
    <s v="TEN5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TEN.5.A"/>
    <s v="NA"/>
    <s v="NA"/>
    <s v="NA"/>
    <m/>
    <m/>
    <m/>
    <m/>
    <m/>
  </r>
  <r>
    <x v="3"/>
    <s v="TEN6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TEN.6.A"/>
    <s v="NA"/>
    <s v="NA"/>
    <s v="NA"/>
    <m/>
    <m/>
    <m/>
    <m/>
    <m/>
  </r>
  <r>
    <x v="3"/>
    <s v="TEN7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TEN.7.A"/>
    <s v="NA"/>
    <s v="NA"/>
    <s v="NA"/>
    <m/>
    <m/>
    <m/>
    <m/>
    <m/>
  </r>
  <r>
    <x v="3"/>
    <s v="TEN8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TEN.8.A"/>
    <s v="NA"/>
    <s v="NA"/>
    <s v="NA"/>
    <m/>
    <m/>
    <m/>
    <m/>
    <m/>
  </r>
  <r>
    <x v="3"/>
    <s v="TEN9"/>
    <x v="8"/>
    <n v="1"/>
    <s v="NA"/>
    <s v="NA"/>
    <s v="NA"/>
    <s v="NA"/>
    <s v="NA"/>
    <s v="NA"/>
    <s v="NA"/>
    <s v="NA"/>
    <s v="NA"/>
    <m/>
    <s v="NA"/>
    <m/>
    <m/>
    <m/>
    <m/>
    <m/>
    <m/>
    <m/>
    <m/>
    <m/>
    <m/>
    <m/>
    <m/>
    <m/>
    <m/>
    <s v="TEN.9.A"/>
    <s v="NA"/>
    <s v="NA"/>
    <s v="NA"/>
    <m/>
    <m/>
    <m/>
    <m/>
    <m/>
  </r>
  <r>
    <x v="3"/>
    <s v="TEN1"/>
    <x v="9"/>
    <n v="1"/>
    <s v="NA"/>
    <s v="NA"/>
    <n v="9"/>
    <n v="0"/>
    <n v="9"/>
    <n v="0"/>
    <n v="0.25"/>
    <n v="9"/>
    <n v="3.75"/>
    <m/>
    <n v="50"/>
    <n v="5"/>
    <m/>
    <m/>
    <m/>
    <m/>
    <m/>
    <m/>
    <m/>
    <m/>
    <m/>
    <m/>
    <m/>
    <m/>
    <m/>
    <s v="TEN.1.A"/>
    <s v="NA"/>
    <s v="NA"/>
    <m/>
    <s v="Beite"/>
    <m/>
    <m/>
    <d v="2019-06-21T00:00:00"/>
    <n v="6"/>
  </r>
  <r>
    <x v="3"/>
    <s v="TEN10"/>
    <x v="9"/>
    <n v="1"/>
    <s v="NA"/>
    <s v="NA"/>
    <n v="0"/>
    <n v="0"/>
    <n v="0"/>
    <s v="NA"/>
    <n v="0.25"/>
    <n v="0"/>
    <n v="7"/>
    <m/>
    <n v="55"/>
    <n v="55"/>
    <m/>
    <m/>
    <m/>
    <m/>
    <m/>
    <m/>
    <m/>
    <m/>
    <m/>
    <m/>
    <m/>
    <m/>
    <m/>
    <s v="TEN.10.A"/>
    <s v="NA"/>
    <s v="NA"/>
    <m/>
    <s v="Beite"/>
    <m/>
    <m/>
    <d v="2019-06-26T00:00:00"/>
    <n v="13"/>
  </r>
  <r>
    <x v="3"/>
    <s v="TEN2"/>
    <x v="9"/>
    <n v="1"/>
    <s v="NA"/>
    <s v="NA"/>
    <n v="0"/>
    <n v="0"/>
    <n v="0"/>
    <s v="NA"/>
    <n v="0.25"/>
    <n v="0"/>
    <n v="1.625"/>
    <m/>
    <n v="25"/>
    <n v="25"/>
    <m/>
    <m/>
    <m/>
    <m/>
    <m/>
    <m/>
    <m/>
    <m/>
    <m/>
    <m/>
    <m/>
    <m/>
    <m/>
    <s v="TEN.2.A"/>
    <s v="NA"/>
    <s v="NA"/>
    <m/>
    <s v="Beite"/>
    <m/>
    <m/>
    <d v="2019-06-21T00:00:00"/>
    <n v="7"/>
  </r>
  <r>
    <x v="3"/>
    <s v="TEN3"/>
    <x v="9"/>
    <n v="1"/>
    <s v="NA"/>
    <s v="NA"/>
    <n v="33"/>
    <n v="0"/>
    <n v="33"/>
    <n v="0"/>
    <n v="0.25"/>
    <n v="33"/>
    <n v="5.25"/>
    <m/>
    <n v="60"/>
    <n v="40"/>
    <m/>
    <m/>
    <m/>
    <m/>
    <m/>
    <m/>
    <m/>
    <m/>
    <m/>
    <m/>
    <m/>
    <m/>
    <m/>
    <s v="TEN.3.A"/>
    <n v="1.4848484848484849"/>
    <s v="NA"/>
    <m/>
    <s v="Beite"/>
    <m/>
    <m/>
    <d v="2019-06-21T00:00:00"/>
    <n v="8"/>
  </r>
  <r>
    <x v="3"/>
    <s v="TEN4"/>
    <x v="9"/>
    <n v="1"/>
    <s v="NA"/>
    <s v="NA"/>
    <n v="42"/>
    <n v="0"/>
    <n v="42"/>
    <n v="0"/>
    <n v="0.25"/>
    <n v="42"/>
    <n v="4"/>
    <m/>
    <n v="50"/>
    <n v="30"/>
    <m/>
    <m/>
    <m/>
    <m/>
    <m/>
    <m/>
    <m/>
    <m/>
    <m/>
    <m/>
    <m/>
    <m/>
    <m/>
    <s v="TEN.4.A"/>
    <n v="9.5238095238095233E-2"/>
    <s v="NA"/>
    <m/>
    <s v="Beite"/>
    <m/>
    <m/>
    <d v="2019-06-21T00:00:00"/>
    <n v="9"/>
  </r>
  <r>
    <x v="3"/>
    <s v="TEN5"/>
    <x v="9"/>
    <n v="1"/>
    <s v="NA"/>
    <s v="NA"/>
    <n v="8"/>
    <n v="2"/>
    <n v="6"/>
    <n v="0.25"/>
    <n v="0.25"/>
    <n v="8"/>
    <n v="15.25"/>
    <m/>
    <n v="90"/>
    <n v="5"/>
    <m/>
    <m/>
    <m/>
    <m/>
    <m/>
    <m/>
    <m/>
    <m/>
    <m/>
    <m/>
    <m/>
    <m/>
    <m/>
    <s v="TEN.5.A"/>
    <s v="NA"/>
    <s v="NA"/>
    <m/>
    <s v="Beite"/>
    <m/>
    <m/>
    <d v="2019-06-21T00:00:00"/>
    <n v="10"/>
  </r>
  <r>
    <x v="3"/>
    <s v="TEN6"/>
    <x v="9"/>
    <n v="1"/>
    <s v="NA"/>
    <s v="NA"/>
    <n v="0"/>
    <n v="0"/>
    <n v="0"/>
    <s v="NA"/>
    <n v="0.25"/>
    <n v="0"/>
    <n v="14.75"/>
    <m/>
    <n v="95"/>
    <n v="5"/>
    <m/>
    <m/>
    <m/>
    <m/>
    <m/>
    <s v="Fant ikke rute. Manglet god metalldetektor"/>
    <m/>
    <m/>
    <m/>
    <m/>
    <m/>
    <m/>
    <m/>
    <s v="TEN.6.A"/>
    <s v="NA"/>
    <s v="NA"/>
    <m/>
    <s v="Beite"/>
    <m/>
    <m/>
    <d v="2019-06-21T00:00:00"/>
    <n v="11"/>
  </r>
  <r>
    <x v="3"/>
    <s v="TEN7"/>
    <x v="9"/>
    <n v="1"/>
    <s v="NA"/>
    <s v="NA"/>
    <n v="0"/>
    <n v="0"/>
    <n v="0"/>
    <s v="NA"/>
    <n v="0.25"/>
    <n v="0"/>
    <n v="3.5"/>
    <m/>
    <n v="30"/>
    <n v="60"/>
    <m/>
    <m/>
    <m/>
    <m/>
    <m/>
    <s v="Fant kun ett hjørne, så registrerte ikke"/>
    <m/>
    <m/>
    <m/>
    <m/>
    <m/>
    <m/>
    <m/>
    <s v="TEN.7.A"/>
    <s v="NA"/>
    <s v="NA"/>
    <m/>
    <s v="Beite"/>
    <m/>
    <m/>
    <d v="2019-06-26T00:00:00"/>
    <n v="11"/>
  </r>
  <r>
    <x v="3"/>
    <s v="TEN8"/>
    <x v="9"/>
    <n v="1"/>
    <s v="NA"/>
    <s v="NA"/>
    <n v="6"/>
    <n v="0"/>
    <n v="6"/>
    <n v="0"/>
    <n v="0.25"/>
    <n v="6"/>
    <n v="5.5"/>
    <m/>
    <n v="75"/>
    <n v="30"/>
    <m/>
    <m/>
    <m/>
    <m/>
    <m/>
    <m/>
    <m/>
    <m/>
    <m/>
    <m/>
    <m/>
    <m/>
    <m/>
    <s v="TEN.8.A"/>
    <s v="NA"/>
    <s v="NA"/>
    <m/>
    <s v="Beite"/>
    <m/>
    <m/>
    <d v="2019-06-26T00:00:00"/>
    <n v="14"/>
  </r>
  <r>
    <x v="3"/>
    <s v="TEN9"/>
    <x v="9"/>
    <n v="1"/>
    <s v="NA"/>
    <s v="NA"/>
    <n v="0"/>
    <n v="0"/>
    <n v="0"/>
    <s v="NA"/>
    <n v="0.25"/>
    <n v="0"/>
    <n v="1.5"/>
    <m/>
    <n v="35"/>
    <n v="30"/>
    <m/>
    <m/>
    <m/>
    <m/>
    <m/>
    <m/>
    <m/>
    <m/>
    <m/>
    <m/>
    <m/>
    <m/>
    <m/>
    <s v="TEN.9.A"/>
    <s v="NA"/>
    <s v="NA"/>
    <m/>
    <s v="Beite"/>
    <m/>
    <m/>
    <d v="2019-06-26T00:00:00"/>
    <n v="12"/>
  </r>
  <r>
    <x v="3"/>
    <s v="TEN1"/>
    <x v="0"/>
    <n v="1"/>
    <s v="NA"/>
    <s v="NA"/>
    <n v="0"/>
    <n v="0"/>
    <n v="0"/>
    <s v="NA"/>
    <n v="0.25"/>
    <n v="0"/>
    <n v="3.25"/>
    <m/>
    <n v="30"/>
    <n v="10"/>
    <m/>
    <m/>
    <m/>
    <s v="tusengylden"/>
    <m/>
    <m/>
    <m/>
    <m/>
    <m/>
    <m/>
    <m/>
    <m/>
    <m/>
    <s v="TEN.1.A"/>
    <s v="NA"/>
    <s v="NA"/>
    <m/>
    <s v="Beite"/>
    <m/>
    <m/>
    <d v="2020-06-08T00:00:00"/>
    <m/>
  </r>
  <r>
    <x v="3"/>
    <s v="TEN10"/>
    <x v="0"/>
    <n v="1"/>
    <s v="NA"/>
    <s v="NA"/>
    <n v="0"/>
    <n v="0"/>
    <n v="0"/>
    <s v="NA"/>
    <n v="0.25"/>
    <n v="0"/>
    <n v="5.5"/>
    <m/>
    <n v="95"/>
    <n v="10"/>
    <m/>
    <m/>
    <m/>
    <s v="tusengylden"/>
    <m/>
    <m/>
    <m/>
    <m/>
    <m/>
    <m/>
    <m/>
    <m/>
    <m/>
    <s v="TEN.10.A"/>
    <s v="NA"/>
    <s v="NA"/>
    <m/>
    <s v="Beite"/>
    <m/>
    <m/>
    <d v="2020-06-08T00:00:00"/>
    <m/>
  </r>
  <r>
    <x v="3"/>
    <s v="TEN2"/>
    <x v="0"/>
    <n v="1"/>
    <s v="NA"/>
    <s v="NA"/>
    <n v="0"/>
    <n v="0"/>
    <n v="0"/>
    <s v="NA"/>
    <n v="0.25"/>
    <n v="0"/>
    <n v="6"/>
    <m/>
    <n v="50"/>
    <n v="30"/>
    <m/>
    <m/>
    <m/>
    <m/>
    <m/>
    <m/>
    <m/>
    <m/>
    <m/>
    <m/>
    <m/>
    <m/>
    <m/>
    <s v="TEN.2.A"/>
    <s v="NA"/>
    <s v="NA"/>
    <m/>
    <s v="Beite"/>
    <m/>
    <m/>
    <d v="2020-06-08T00:00:00"/>
    <m/>
  </r>
  <r>
    <x v="3"/>
    <s v="TEN3"/>
    <x v="0"/>
    <n v="1"/>
    <s v="NA"/>
    <s v="NA"/>
    <n v="49"/>
    <n v="3"/>
    <n v="46"/>
    <n v="6.1224489795918366E-2"/>
    <n v="0.25"/>
    <n v="49"/>
    <n v="7.75"/>
    <m/>
    <n v="90"/>
    <n v="1"/>
    <m/>
    <m/>
    <m/>
    <s v="tusengylden"/>
    <m/>
    <m/>
    <m/>
    <m/>
    <m/>
    <m/>
    <m/>
    <m/>
    <m/>
    <s v="TEN.3.A"/>
    <s v="NA"/>
    <s v="NA"/>
    <m/>
    <s v="Beite"/>
    <m/>
    <m/>
    <d v="2020-06-08T00:00:00"/>
    <m/>
  </r>
  <r>
    <x v="3"/>
    <s v="TEN4"/>
    <x v="0"/>
    <n v="1"/>
    <s v="NA"/>
    <s v="NA"/>
    <n v="4"/>
    <n v="0"/>
    <n v="4"/>
    <n v="0"/>
    <n v="0.25"/>
    <n v="4"/>
    <n v="8.25"/>
    <m/>
    <n v="80"/>
    <n v="0"/>
    <m/>
    <m/>
    <m/>
    <m/>
    <m/>
    <m/>
    <m/>
    <m/>
    <m/>
    <m/>
    <m/>
    <m/>
    <m/>
    <s v="TEN.4.A"/>
    <s v="NA"/>
    <s v="NA"/>
    <m/>
    <s v="Beite"/>
    <m/>
    <m/>
    <d v="2020-06-08T00:00:00"/>
    <m/>
  </r>
  <r>
    <x v="3"/>
    <s v="TEN5"/>
    <x v="0"/>
    <n v="1"/>
    <s v="NA"/>
    <s v="NA"/>
    <s v="NA"/>
    <s v="NA"/>
    <s v="NA"/>
    <s v="NA"/>
    <n v="0.25"/>
    <s v="NA"/>
    <s v="NA"/>
    <m/>
    <s v="NA"/>
    <s v="NA"/>
    <m/>
    <m/>
    <m/>
    <m/>
    <m/>
    <m/>
    <m/>
    <m/>
    <m/>
    <m/>
    <m/>
    <m/>
    <m/>
    <s v="TEN.5.A"/>
    <s v="NA"/>
    <s v="NA"/>
    <m/>
    <s v="Beite"/>
    <m/>
    <m/>
    <d v="2020-06-08T00:00:00"/>
    <m/>
  </r>
  <r>
    <x v="3"/>
    <s v="TEN6"/>
    <x v="0"/>
    <n v="1"/>
    <s v="NA"/>
    <s v="NA"/>
    <n v="0"/>
    <n v="0"/>
    <n v="0"/>
    <s v="NA"/>
    <n v="0.25"/>
    <n v="0"/>
    <n v="23"/>
    <m/>
    <n v="100"/>
    <n v="0"/>
    <m/>
    <m/>
    <m/>
    <m/>
    <m/>
    <m/>
    <m/>
    <m/>
    <m/>
    <m/>
    <m/>
    <m/>
    <m/>
    <s v="TEN.6.A"/>
    <s v="NA"/>
    <s v="NA"/>
    <m/>
    <s v="Beite"/>
    <m/>
    <m/>
    <d v="2020-06-08T00:00:00"/>
    <m/>
  </r>
  <r>
    <x v="3"/>
    <s v="TEN7"/>
    <x v="0"/>
    <n v="1"/>
    <s v="NA"/>
    <s v="NA"/>
    <n v="0"/>
    <n v="0"/>
    <n v="0"/>
    <s v="NA"/>
    <n v="0.25"/>
    <n v="0"/>
    <n v="5.25"/>
    <m/>
    <n v="70"/>
    <n v="20"/>
    <m/>
    <n v="5"/>
    <s v="Einer"/>
    <s v="tusengylden"/>
    <m/>
    <m/>
    <m/>
    <m/>
    <m/>
    <m/>
    <m/>
    <m/>
    <m/>
    <s v="TEN.7.A"/>
    <s v="NA"/>
    <s v="NA"/>
    <m/>
    <s v="Beite"/>
    <m/>
    <m/>
    <d v="2020-06-08T00:00:00"/>
    <m/>
  </r>
  <r>
    <x v="3"/>
    <s v="TEN8"/>
    <x v="0"/>
    <n v="1"/>
    <s v="NA"/>
    <s v="NA"/>
    <s v="NA"/>
    <s v="NA"/>
    <s v="NA"/>
    <s v="NA"/>
    <n v="0.25"/>
    <s v="NA"/>
    <s v="NA"/>
    <m/>
    <s v="NA"/>
    <s v="NA"/>
    <m/>
    <m/>
    <m/>
    <m/>
    <m/>
    <m/>
    <m/>
    <m/>
    <m/>
    <m/>
    <m/>
    <m/>
    <m/>
    <s v="TEN.8.A"/>
    <s v="NA"/>
    <s v="NA"/>
    <m/>
    <s v="Beite"/>
    <m/>
    <m/>
    <d v="2020-06-08T00:00:00"/>
    <m/>
  </r>
  <r>
    <x v="3"/>
    <s v="TEN9"/>
    <x v="0"/>
    <n v="1"/>
    <s v="NA"/>
    <s v="NA"/>
    <n v="0"/>
    <n v="0"/>
    <n v="0"/>
    <s v="NA"/>
    <n v="0.25"/>
    <n v="0"/>
    <n v="3"/>
    <m/>
    <n v="40"/>
    <n v="50"/>
    <m/>
    <m/>
    <m/>
    <m/>
    <m/>
    <m/>
    <m/>
    <m/>
    <m/>
    <m/>
    <m/>
    <m/>
    <m/>
    <s v="TEN.9.A"/>
    <s v="NA"/>
    <s v="NA"/>
    <m/>
    <s v="Beite"/>
    <m/>
    <m/>
    <d v="2020-06-08T00:00:00"/>
    <m/>
  </r>
  <r>
    <x v="3"/>
    <s v="TEN1"/>
    <x v="1"/>
    <n v="1"/>
    <s v="NA"/>
    <s v="NA"/>
    <n v="7"/>
    <n v="0"/>
    <n v="7"/>
    <n v="0"/>
    <n v="0.25"/>
    <n v="7"/>
    <n v="9.25"/>
    <m/>
    <n v="85"/>
    <n v="2"/>
    <n v="5"/>
    <m/>
    <m/>
    <m/>
    <m/>
    <m/>
    <n v="9"/>
    <n v="11"/>
    <n v="8"/>
    <n v="9"/>
    <m/>
    <m/>
    <m/>
    <s v="TEN.1.A"/>
    <s v="NA"/>
    <s v="NA"/>
    <s v="NA"/>
    <s v="Beite"/>
    <m/>
    <m/>
    <d v="2021-07-02T00:00:00"/>
    <m/>
  </r>
  <r>
    <x v="3"/>
    <s v="TEN10"/>
    <x v="1"/>
    <n v="1"/>
    <s v="NA"/>
    <s v="NA"/>
    <n v="0"/>
    <n v="0"/>
    <n v="0"/>
    <s v="NA"/>
    <n v="0.25"/>
    <n v="0"/>
    <n v="8"/>
    <m/>
    <n v="70"/>
    <n v="15"/>
    <n v="15"/>
    <n v="0"/>
    <m/>
    <s v="tusengylden"/>
    <n v="2"/>
    <m/>
    <n v="7"/>
    <n v="5"/>
    <n v="8"/>
    <n v="12"/>
    <m/>
    <m/>
    <m/>
    <s v="TEN.10.A"/>
    <s v="NA"/>
    <s v="NA"/>
    <s v="NA"/>
    <s v="Beite"/>
    <m/>
    <m/>
    <d v="2021-07-02T00:00:00"/>
    <m/>
  </r>
  <r>
    <x v="3"/>
    <s v="TEN11"/>
    <x v="1"/>
    <n v="0"/>
    <s v="TR1"/>
    <n v="5"/>
    <n v="0"/>
    <n v="0"/>
    <n v="0"/>
    <s v="NA"/>
    <n v="0.25"/>
    <n v="0"/>
    <n v="6.75"/>
    <m/>
    <n v="55"/>
    <n v="25"/>
    <n v="10"/>
    <n v="0"/>
    <m/>
    <s v="tusengylden"/>
    <n v="1"/>
    <m/>
    <n v="11"/>
    <n v="0"/>
    <n v="7"/>
    <n v="9"/>
    <m/>
    <m/>
    <m/>
    <m/>
    <s v="NA"/>
    <s v="NA"/>
    <s v="NA"/>
    <s v="Beite"/>
    <m/>
    <m/>
    <d v="2021-07-02T00:00:00"/>
    <m/>
  </r>
  <r>
    <x v="3"/>
    <s v="TEN12"/>
    <x v="1"/>
    <n v="0"/>
    <s v="TR1"/>
    <n v="15"/>
    <n v="0"/>
    <n v="0"/>
    <n v="0"/>
    <s v="NA"/>
    <n v="0.25"/>
    <n v="0"/>
    <s v="NA"/>
    <m/>
    <n v="60"/>
    <n v="2"/>
    <n v="25"/>
    <n v="0"/>
    <m/>
    <s v="tusengylden"/>
    <n v="5"/>
    <m/>
    <s v="NA"/>
    <s v="NA"/>
    <s v="NA"/>
    <s v="NA"/>
    <m/>
    <m/>
    <m/>
    <m/>
    <s v="NA"/>
    <s v="NA"/>
    <s v="NA"/>
    <s v="Beite"/>
    <m/>
    <m/>
    <d v="2021-07-02T00:00:00"/>
    <m/>
  </r>
  <r>
    <x v="3"/>
    <s v="TEN13"/>
    <x v="1"/>
    <n v="0"/>
    <s v="TR1"/>
    <n v="25"/>
    <n v="0"/>
    <n v="0"/>
    <n v="0"/>
    <s v="NA"/>
    <n v="0.25"/>
    <n v="0"/>
    <n v="6.5"/>
    <m/>
    <n v="40"/>
    <n v="5"/>
    <n v="20"/>
    <n v="0"/>
    <m/>
    <s v="tusengylden"/>
    <n v="1"/>
    <m/>
    <n v="13"/>
    <n v="6"/>
    <n v="4"/>
    <n v="3"/>
    <m/>
    <m/>
    <m/>
    <m/>
    <s v="NA"/>
    <s v="NA"/>
    <s v="NA"/>
    <s v="Beite"/>
    <m/>
    <m/>
    <d v="2021-07-02T00:00:00"/>
    <m/>
  </r>
  <r>
    <x v="3"/>
    <s v="TEN14"/>
    <x v="1"/>
    <n v="0"/>
    <s v="TR2"/>
    <n v="10"/>
    <n v="0"/>
    <n v="0"/>
    <n v="0"/>
    <s v="NA"/>
    <n v="0.25"/>
    <n v="0"/>
    <n v="18.75"/>
    <m/>
    <n v="75"/>
    <n v="10"/>
    <n v="25"/>
    <n v="3"/>
    <s v="Kvann"/>
    <m/>
    <m/>
    <m/>
    <n v="22"/>
    <n v="13"/>
    <n v="31"/>
    <n v="9"/>
    <m/>
    <m/>
    <m/>
    <m/>
    <s v="NA"/>
    <s v="NA"/>
    <s v="NA"/>
    <s v="Beite"/>
    <m/>
    <m/>
    <d v="2021-07-02T00:00:00"/>
    <m/>
  </r>
  <r>
    <x v="3"/>
    <s v="TEN15"/>
    <x v="1"/>
    <n v="0"/>
    <s v="TR2"/>
    <n v="20"/>
    <n v="0"/>
    <n v="0"/>
    <n v="0"/>
    <s v="NA"/>
    <n v="0.25"/>
    <n v="0"/>
    <n v="14.5"/>
    <m/>
    <n v="75"/>
    <n v="1"/>
    <n v="25"/>
    <n v="1"/>
    <s v="Kvann"/>
    <s v="nattfiol"/>
    <m/>
    <m/>
    <n v="12"/>
    <n v="15"/>
    <n v="20"/>
    <n v="11"/>
    <m/>
    <m/>
    <m/>
    <m/>
    <s v="NA"/>
    <s v="NA"/>
    <s v="NA"/>
    <s v="Beite"/>
    <m/>
    <m/>
    <d v="2021-07-02T00:00:00"/>
    <m/>
  </r>
  <r>
    <x v="3"/>
    <s v="TEN2"/>
    <x v="1"/>
    <n v="1"/>
    <s v="NA"/>
    <s v="NA"/>
    <n v="0"/>
    <n v="0"/>
    <n v="0"/>
    <s v="NA"/>
    <n v="0.25"/>
    <n v="0"/>
    <n v="9.25"/>
    <m/>
    <n v="90"/>
    <n v="2"/>
    <n v="5"/>
    <m/>
    <m/>
    <m/>
    <m/>
    <m/>
    <n v="7"/>
    <n v="6"/>
    <n v="16"/>
    <n v="8"/>
    <m/>
    <m/>
    <m/>
    <s v="TEN.2.A"/>
    <s v="NA"/>
    <s v="NA"/>
    <s v="NA"/>
    <s v="Beite "/>
    <m/>
    <m/>
    <d v="2021-07-02T00:00:00"/>
    <m/>
  </r>
  <r>
    <x v="3"/>
    <s v="TEN3"/>
    <x v="1"/>
    <n v="1"/>
    <s v="NA"/>
    <s v="NA"/>
    <n v="40"/>
    <n v="3"/>
    <n v="37"/>
    <n v="7.4999999999999997E-2"/>
    <n v="0.25"/>
    <n v="40"/>
    <n v="8.75"/>
    <m/>
    <n v="95"/>
    <n v="2"/>
    <n v="5"/>
    <m/>
    <m/>
    <m/>
    <m/>
    <s v="Ett fertilt indvid beitet"/>
    <n v="6"/>
    <n v="8"/>
    <n v="9"/>
    <n v="12"/>
    <m/>
    <m/>
    <m/>
    <s v="TEN.3.A"/>
    <s v="NA"/>
    <s v="NA"/>
    <s v="NA"/>
    <s v="Beite"/>
    <m/>
    <m/>
    <d v="2021-07-02T00:00:00"/>
    <m/>
  </r>
  <r>
    <x v="3"/>
    <s v="TEN4"/>
    <x v="1"/>
    <n v="1"/>
    <s v="NA"/>
    <s v="NA"/>
    <n v="29"/>
    <n v="2"/>
    <n v="27"/>
    <n v="6.8965517241379309E-2"/>
    <n v="0.25"/>
    <n v="29"/>
    <n v="10.5"/>
    <m/>
    <n v="75"/>
    <n v="2"/>
    <n v="25"/>
    <m/>
    <m/>
    <m/>
    <m/>
    <m/>
    <n v="11"/>
    <n v="12"/>
    <n v="8"/>
    <n v="11"/>
    <m/>
    <m/>
    <m/>
    <s v="TEN.4.A"/>
    <s v="NA"/>
    <s v="NA"/>
    <s v="NA"/>
    <s v="Beite"/>
    <m/>
    <m/>
    <d v="2021-07-02T00:00:00"/>
    <m/>
  </r>
  <r>
    <x v="3"/>
    <s v="TEN5"/>
    <x v="1"/>
    <n v="1"/>
    <s v="NA"/>
    <s v="NA"/>
    <n v="10"/>
    <n v="4"/>
    <n v="6"/>
    <n v="0.4"/>
    <n v="0.25"/>
    <n v="10"/>
    <n v="23.25"/>
    <m/>
    <n v="95"/>
    <n v="0"/>
    <n v="15"/>
    <n v="1"/>
    <s v="Mjødurt"/>
    <m/>
    <m/>
    <m/>
    <n v="21"/>
    <n v="21"/>
    <n v="28"/>
    <n v="23"/>
    <m/>
    <m/>
    <m/>
    <s v="TEN.5.A"/>
    <s v="NA"/>
    <s v="NA"/>
    <s v="NA"/>
    <s v="Beite"/>
    <m/>
    <m/>
    <d v="2021-07-02T00:00:00"/>
    <m/>
  </r>
  <r>
    <x v="3"/>
    <s v="TEN6"/>
    <x v="1"/>
    <n v="1"/>
    <s v="NA"/>
    <s v="NA"/>
    <n v="4"/>
    <n v="3"/>
    <n v="1"/>
    <n v="0.75"/>
    <n v="0.25"/>
    <n v="4"/>
    <n v="22.5"/>
    <m/>
    <n v="75"/>
    <n v="2"/>
    <n v="25"/>
    <n v="6"/>
    <s v="Mjødurt"/>
    <m/>
    <m/>
    <m/>
    <n v="19"/>
    <n v="8"/>
    <n v="29"/>
    <n v="34"/>
    <m/>
    <m/>
    <m/>
    <s v="TEN.6.A"/>
    <s v="NA"/>
    <s v="NA"/>
    <s v="NA"/>
    <s v="Beite"/>
    <m/>
    <m/>
    <d v="2021-07-02T00:00:00"/>
    <m/>
  </r>
  <r>
    <x v="3"/>
    <s v="TEN7"/>
    <x v="1"/>
    <n v="1"/>
    <s v="NA"/>
    <s v="NA"/>
    <n v="0"/>
    <n v="0"/>
    <n v="0"/>
    <s v="NA"/>
    <n v="0.25"/>
    <n v="0"/>
    <n v="7.5"/>
    <m/>
    <n v="55"/>
    <n v="10"/>
    <n v="10"/>
    <n v="0"/>
    <m/>
    <s v="tusengylden"/>
    <n v="1"/>
    <m/>
    <n v="4"/>
    <n v="9"/>
    <n v="10"/>
    <n v="7"/>
    <m/>
    <m/>
    <m/>
    <s v="TEN.7.A"/>
    <s v="NA"/>
    <s v="NA"/>
    <s v="NA"/>
    <s v="Beite"/>
    <m/>
    <m/>
    <d v="2021-07-02T00:00:00"/>
    <m/>
  </r>
  <r>
    <x v="3"/>
    <s v="TEN8"/>
    <x v="1"/>
    <n v="1"/>
    <s v="NA"/>
    <s v="NA"/>
    <n v="8"/>
    <n v="0"/>
    <n v="8"/>
    <n v="0"/>
    <n v="0.25"/>
    <n v="8"/>
    <n v="10"/>
    <m/>
    <n v="75"/>
    <n v="25"/>
    <n v="20"/>
    <n v="0"/>
    <m/>
    <m/>
    <m/>
    <m/>
    <n v="12"/>
    <n v="13"/>
    <n v="7"/>
    <n v="8"/>
    <m/>
    <m/>
    <m/>
    <s v="TEN.8.A"/>
    <s v="NA"/>
    <s v="NA"/>
    <s v="NA"/>
    <s v="Beite"/>
    <m/>
    <m/>
    <d v="2021-07-02T00:00:00"/>
    <m/>
  </r>
  <r>
    <x v="3"/>
    <s v="TEN9"/>
    <x v="1"/>
    <n v="1"/>
    <s v="NA"/>
    <s v="NA"/>
    <n v="0"/>
    <n v="0"/>
    <n v="0"/>
    <s v="NA"/>
    <n v="0.25"/>
    <n v="0"/>
    <n v="7"/>
    <m/>
    <n v="50"/>
    <n v="15"/>
    <n v="40"/>
    <n v="0"/>
    <m/>
    <m/>
    <m/>
    <m/>
    <n v="7"/>
    <n v="9"/>
    <n v="7"/>
    <n v="5"/>
    <m/>
    <m/>
    <m/>
    <s v="TEN.9.A"/>
    <s v="NA"/>
    <s v="NA"/>
    <s v="NA"/>
    <s v="Beite"/>
    <m/>
    <m/>
    <d v="2021-07-02T00:00:00"/>
    <m/>
  </r>
  <r>
    <x v="3"/>
    <s v="TEN1"/>
    <x v="2"/>
    <n v="1"/>
    <s v="NA"/>
    <s v="NA"/>
    <n v="4"/>
    <n v="0"/>
    <n v="4"/>
    <n v="0"/>
    <n v="0.25"/>
    <n v="4"/>
    <n v="6.75"/>
    <m/>
    <n v="90"/>
    <n v="0"/>
    <n v="2"/>
    <n v="0"/>
    <s v="NA"/>
    <s v="hjertegrass"/>
    <n v="5"/>
    <m/>
    <n v="6"/>
    <n v="5"/>
    <n v="3"/>
    <n v="13"/>
    <m/>
    <m/>
    <m/>
    <m/>
    <m/>
    <s v="NA"/>
    <m/>
    <m/>
    <m/>
    <m/>
    <d v="2022-07-04T00:00:00"/>
    <m/>
  </r>
  <r>
    <x v="3"/>
    <s v="TEN10"/>
    <x v="2"/>
    <n v="1"/>
    <s v="NA"/>
    <s v="NA"/>
    <n v="0"/>
    <n v="0"/>
    <n v="0"/>
    <s v="NA"/>
    <n v="0.25"/>
    <n v="0"/>
    <n v="4.5"/>
    <m/>
    <n v="90"/>
    <n v="60"/>
    <n v="10"/>
    <n v="0"/>
    <s v="NA"/>
    <s v="tusengylden"/>
    <n v="1"/>
    <m/>
    <n v="5"/>
    <n v="3"/>
    <n v="4"/>
    <n v="6"/>
    <m/>
    <m/>
    <m/>
    <m/>
    <m/>
    <s v="NA"/>
    <m/>
    <s v="kumøkk 4%"/>
    <m/>
    <m/>
    <d v="2022-07-04T00:00:00"/>
    <m/>
  </r>
  <r>
    <x v="3"/>
    <s v="TEN11"/>
    <x v="2"/>
    <n v="0"/>
    <s v="TR1"/>
    <n v="5"/>
    <n v="0"/>
    <n v="0"/>
    <n v="0"/>
    <s v="NA"/>
    <n v="0.25"/>
    <n v="0"/>
    <n v="7.75"/>
    <m/>
    <n v="80"/>
    <n v="12"/>
    <n v="14"/>
    <n v="0"/>
    <s v="NA"/>
    <s v="tusengylden"/>
    <n v="0.1"/>
    <m/>
    <n v="4"/>
    <n v="12"/>
    <n v="3"/>
    <n v="12"/>
    <m/>
    <m/>
    <m/>
    <m/>
    <m/>
    <s v="NA"/>
    <m/>
    <m/>
    <m/>
    <m/>
    <d v="2022-07-04T00:00:00"/>
    <m/>
  </r>
  <r>
    <x v="3"/>
    <s v="TEN12"/>
    <x v="2"/>
    <n v="0"/>
    <s v="TR1"/>
    <n v="15"/>
    <n v="0"/>
    <n v="0"/>
    <n v="0"/>
    <s v="NA"/>
    <n v="0.25"/>
    <n v="0"/>
    <n v="7"/>
    <m/>
    <n v="60"/>
    <n v="3"/>
    <n v="30"/>
    <n v="0"/>
    <s v="NA"/>
    <s v="tusengylden"/>
    <n v="2"/>
    <m/>
    <n v="5"/>
    <n v="8"/>
    <n v="10"/>
    <n v="5"/>
    <m/>
    <m/>
    <m/>
    <m/>
    <m/>
    <s v="NA"/>
    <m/>
    <s v="kumøkk 4%"/>
    <m/>
    <m/>
    <d v="2022-07-04T00:00:00"/>
    <m/>
  </r>
  <r>
    <x v="3"/>
    <s v="TEN13"/>
    <x v="2"/>
    <n v="0"/>
    <s v="TR1"/>
    <n v="25"/>
    <n v="0"/>
    <n v="0"/>
    <n v="0"/>
    <s v="NA"/>
    <n v="0.25"/>
    <n v="0"/>
    <n v="6"/>
    <m/>
    <n v="80"/>
    <n v="5"/>
    <n v="40"/>
    <n v="0"/>
    <s v="NA"/>
    <s v="tusengylden"/>
    <n v="0.1"/>
    <s v="NB fant ikke metallrør, tatt fra bilder"/>
    <n v="11"/>
    <n v="3"/>
    <n v="6"/>
    <n v="4"/>
    <m/>
    <m/>
    <m/>
    <m/>
    <m/>
    <s v="NA"/>
    <m/>
    <s v="kumøkk 6%"/>
    <m/>
    <m/>
    <d v="2022-07-04T00:00:00"/>
    <m/>
  </r>
  <r>
    <x v="3"/>
    <s v="TEN14"/>
    <x v="2"/>
    <n v="0"/>
    <s v="TR2"/>
    <n v="10"/>
    <n v="0"/>
    <n v="0"/>
    <n v="0"/>
    <s v="NA"/>
    <n v="0.25"/>
    <n v="0"/>
    <n v="9"/>
    <m/>
    <n v="80"/>
    <n v="1"/>
    <n v="5"/>
    <n v="0"/>
    <s v="NA"/>
    <s v="NA"/>
    <n v="0"/>
    <m/>
    <n v="3"/>
    <n v="4"/>
    <n v="15"/>
    <n v="14"/>
    <m/>
    <m/>
    <m/>
    <m/>
    <m/>
    <s v="NA"/>
    <m/>
    <s v="tråkk"/>
    <m/>
    <m/>
    <d v="2022-07-04T00:00:00"/>
    <m/>
  </r>
  <r>
    <x v="3"/>
    <s v="TEN15"/>
    <x v="2"/>
    <n v="0"/>
    <s v="TR2"/>
    <n v="20"/>
    <n v="0"/>
    <n v="0"/>
    <n v="0"/>
    <s v="NA"/>
    <n v="0.25"/>
    <n v="0"/>
    <n v="8.25"/>
    <m/>
    <n v="97"/>
    <n v="0"/>
    <n v="8"/>
    <n v="0"/>
    <s v="NA"/>
    <s v="tusengylden"/>
    <n v="0.1"/>
    <m/>
    <n v="6"/>
    <n v="7"/>
    <n v="6"/>
    <n v="14"/>
    <m/>
    <m/>
    <m/>
    <m/>
    <m/>
    <s v="NA"/>
    <m/>
    <m/>
    <m/>
    <m/>
    <d v="2022-07-04T00:00:00"/>
    <m/>
  </r>
  <r>
    <x v="3"/>
    <s v="TEN2"/>
    <x v="2"/>
    <n v="1"/>
    <s v="NA"/>
    <s v="NA"/>
    <n v="0"/>
    <n v="0"/>
    <n v="0"/>
    <s v="NA"/>
    <n v="0.25"/>
    <n v="0"/>
    <n v="12"/>
    <m/>
    <n v="99"/>
    <n v="2"/>
    <n v="4"/>
    <n v="0"/>
    <s v="NA"/>
    <s v="tusengylden+hjertegras"/>
    <n v="3"/>
    <m/>
    <n v="9"/>
    <n v="11"/>
    <n v="9"/>
    <n v="19"/>
    <m/>
    <m/>
    <m/>
    <m/>
    <m/>
    <s v="NA"/>
    <m/>
    <m/>
    <m/>
    <m/>
    <d v="2022-07-04T00:00:00"/>
    <m/>
  </r>
  <r>
    <x v="3"/>
    <s v="TEN3"/>
    <x v="2"/>
    <n v="1"/>
    <s v="NA"/>
    <s v="NA"/>
    <n v="50"/>
    <n v="1"/>
    <n v="49"/>
    <n v="0.02"/>
    <n v="0.25"/>
    <n v="50"/>
    <n v="4.75"/>
    <m/>
    <n v="92"/>
    <n v="5"/>
    <n v="10"/>
    <n v="0"/>
    <s v="NA"/>
    <s v="NA"/>
    <n v="0"/>
    <m/>
    <n v="5"/>
    <n v="4"/>
    <n v="4"/>
    <n v="6"/>
    <m/>
    <m/>
    <m/>
    <m/>
    <m/>
    <s v="NA"/>
    <m/>
    <m/>
    <m/>
    <m/>
    <d v="2022-07-04T00:00:00"/>
    <m/>
  </r>
  <r>
    <x v="3"/>
    <s v="TEN4"/>
    <x v="2"/>
    <n v="1"/>
    <s v="NA"/>
    <s v="NA"/>
    <n v="25"/>
    <n v="1"/>
    <n v="24"/>
    <n v="0.04"/>
    <n v="0.25"/>
    <n v="25"/>
    <n v="7"/>
    <m/>
    <n v="99"/>
    <n v="0"/>
    <n v="1"/>
    <n v="0"/>
    <s v="NA"/>
    <s v="NA"/>
    <n v="0"/>
    <m/>
    <n v="9"/>
    <n v="8"/>
    <n v="5"/>
    <n v="6"/>
    <m/>
    <m/>
    <m/>
    <m/>
    <m/>
    <s v="NA"/>
    <m/>
    <m/>
    <m/>
    <m/>
    <d v="2022-07-04T00:00:00"/>
    <m/>
  </r>
  <r>
    <x v="3"/>
    <s v="TEN5"/>
    <x v="2"/>
    <n v="1"/>
    <s v="NA"/>
    <s v="NA"/>
    <n v="0"/>
    <n v="0"/>
    <n v="0"/>
    <s v="NA"/>
    <n v="0.25"/>
    <n v="0"/>
    <n v="11.5"/>
    <m/>
    <n v="98"/>
    <n v="7"/>
    <n v="8"/>
    <n v="0"/>
    <s v="NA"/>
    <s v="NA"/>
    <n v="0"/>
    <m/>
    <n v="14"/>
    <n v="8"/>
    <n v="15"/>
    <n v="9"/>
    <m/>
    <m/>
    <m/>
    <m/>
    <m/>
    <s v="NA"/>
    <m/>
    <m/>
    <m/>
    <m/>
    <d v="2022-07-04T00:00:00"/>
    <m/>
  </r>
  <r>
    <x v="3"/>
    <s v="TEN6"/>
    <x v="2"/>
    <n v="1"/>
    <s v="NA"/>
    <s v="NA"/>
    <n v="3"/>
    <n v="0"/>
    <n v="3"/>
    <n v="0"/>
    <n v="0.25"/>
    <n v="3"/>
    <n v="11"/>
    <m/>
    <n v="96"/>
    <n v="0"/>
    <n v="3"/>
    <n v="3"/>
    <s v="Mjødurt"/>
    <s v="NA"/>
    <n v="0"/>
    <m/>
    <n v="15"/>
    <n v="13"/>
    <n v="11"/>
    <n v="5"/>
    <m/>
    <m/>
    <m/>
    <m/>
    <m/>
    <s v="NA"/>
    <m/>
    <m/>
    <m/>
    <m/>
    <d v="2022-07-04T00:00:00"/>
    <m/>
  </r>
  <r>
    <x v="3"/>
    <s v="TEN7"/>
    <x v="2"/>
    <n v="1"/>
    <s v="NA"/>
    <s v="NA"/>
    <n v="0"/>
    <n v="0"/>
    <n v="0"/>
    <s v="NA"/>
    <n v="0.25"/>
    <n v="0"/>
    <n v="3.5"/>
    <m/>
    <n v="75"/>
    <n v="6"/>
    <n v="18"/>
    <n v="0"/>
    <s v="NA"/>
    <s v="tusengylden+hjertegras"/>
    <n v="2"/>
    <m/>
    <n v="3"/>
    <n v="2"/>
    <n v="5"/>
    <n v="4"/>
    <m/>
    <m/>
    <m/>
    <m/>
    <m/>
    <s v="NA"/>
    <m/>
    <m/>
    <m/>
    <m/>
    <d v="2022-07-04T00:00:00"/>
    <m/>
  </r>
  <r>
    <x v="3"/>
    <s v="TEN8"/>
    <x v="2"/>
    <n v="1"/>
    <s v="NA"/>
    <s v="NA"/>
    <n v="5"/>
    <n v="1"/>
    <n v="4"/>
    <n v="0.2"/>
    <n v="0.25"/>
    <n v="5"/>
    <n v="5.25"/>
    <m/>
    <n v="92"/>
    <n v="25"/>
    <n v="9"/>
    <n v="0"/>
    <s v="NA"/>
    <s v="NA"/>
    <n v="0"/>
    <m/>
    <n v="5"/>
    <n v="4"/>
    <n v="5"/>
    <n v="7"/>
    <m/>
    <m/>
    <m/>
    <m/>
    <m/>
    <s v="NA"/>
    <m/>
    <m/>
    <m/>
    <m/>
    <d v="2022-07-04T00:00:00"/>
    <m/>
  </r>
  <r>
    <x v="3"/>
    <s v="TEN9"/>
    <x v="2"/>
    <n v="1"/>
    <s v="NA"/>
    <s v="NA"/>
    <n v="0"/>
    <n v="0"/>
    <n v="0"/>
    <s v="NA"/>
    <n v="0.25"/>
    <n v="0"/>
    <n v="6.5"/>
    <m/>
    <n v="80"/>
    <n v="9"/>
    <n v="10"/>
    <n v="0"/>
    <s v="NA"/>
    <s v="tusengylden"/>
    <n v="2"/>
    <m/>
    <n v="5"/>
    <n v="7"/>
    <n v="6"/>
    <n v="8"/>
    <m/>
    <m/>
    <m/>
    <m/>
    <m/>
    <s v="NA"/>
    <m/>
    <s v="kumøkk 18%"/>
    <m/>
    <m/>
    <d v="2022-07-04T00:00:00"/>
    <m/>
  </r>
  <r>
    <x v="3"/>
    <s v="TEN1"/>
    <x v="3"/>
    <n v="1"/>
    <s v="NA"/>
    <s v="NA"/>
    <n v="5"/>
    <n v="0"/>
    <n v="5"/>
    <n v="0"/>
    <n v="0.25"/>
    <n v="5"/>
    <n v="5"/>
    <n v="7"/>
    <n v="60"/>
    <n v="2"/>
    <n v="15"/>
    <n v="0"/>
    <s v="NA"/>
    <s v="hjertegras"/>
    <n v="5"/>
    <m/>
    <n v="5"/>
    <n v="6"/>
    <n v="4"/>
    <n v="5"/>
    <n v="9"/>
    <n v="5"/>
    <m/>
    <m/>
    <m/>
    <s v="NA"/>
    <m/>
    <s v="Beite"/>
    <m/>
    <m/>
    <d v="2022-07-04T00:00:00"/>
    <m/>
  </r>
  <r>
    <x v="3"/>
    <s v="TEN10"/>
    <x v="3"/>
    <n v="1"/>
    <s v="NA"/>
    <s v="NA"/>
    <n v="0"/>
    <n v="0"/>
    <n v="0"/>
    <s v="NA"/>
    <n v="0.25"/>
    <n v="0"/>
    <n v="8.25"/>
    <n v="13"/>
    <n v="60"/>
    <n v="50"/>
    <n v="18"/>
    <n v="0"/>
    <s v="NA"/>
    <s v="hjertegras+tusengylden"/>
    <s v="3+3"/>
    <m/>
    <n v="11"/>
    <n v="6"/>
    <n v="9"/>
    <n v="7"/>
    <n v="15"/>
    <n v="11"/>
    <m/>
    <m/>
    <m/>
    <s v="NA"/>
    <m/>
    <s v="Beite"/>
    <m/>
    <m/>
    <d v="2022-07-04T00:00:00"/>
    <m/>
  </r>
  <r>
    <x v="3"/>
    <s v="TEN11"/>
    <x v="3"/>
    <n v="0"/>
    <s v="TR1"/>
    <n v="5"/>
    <n v="0"/>
    <n v="0"/>
    <n v="0"/>
    <s v="NA"/>
    <n v="0.25"/>
    <n v="0"/>
    <n v="3.75"/>
    <n v="7.5"/>
    <n v="30"/>
    <n v="20"/>
    <n v="60"/>
    <n v="0"/>
    <s v="NA"/>
    <s v="hjertegras+tusengylden"/>
    <s v="0.1+0.1"/>
    <m/>
    <n v="4"/>
    <n v="5"/>
    <n v="6"/>
    <n v="0"/>
    <n v="7"/>
    <n v="8"/>
    <m/>
    <m/>
    <m/>
    <s v="NA"/>
    <m/>
    <s v="Beite"/>
    <m/>
    <m/>
    <d v="2022-07-04T00:00:00"/>
    <m/>
  </r>
  <r>
    <x v="3"/>
    <s v="TEN12"/>
    <x v="3"/>
    <n v="0"/>
    <s v="TR1"/>
    <n v="15"/>
    <n v="0"/>
    <n v="0"/>
    <n v="0"/>
    <s v="NA"/>
    <n v="0.25"/>
    <n v="0"/>
    <n v="2.5"/>
    <n v="5.25"/>
    <n v="3"/>
    <n v="5"/>
    <n v="30"/>
    <n v="0"/>
    <s v="NA"/>
    <s v="hjertegras"/>
    <n v="1"/>
    <m/>
    <n v="3"/>
    <n v="2"/>
    <n v="2"/>
    <n v="3"/>
    <n v="5.5"/>
    <n v="5"/>
    <m/>
    <m/>
    <m/>
    <s v="NA"/>
    <m/>
    <s v="Beite"/>
    <m/>
    <m/>
    <d v="2022-07-04T00:00:00"/>
    <m/>
  </r>
  <r>
    <x v="3"/>
    <s v="TEN13"/>
    <x v="3"/>
    <n v="0"/>
    <s v="TR1"/>
    <n v="25"/>
    <n v="0"/>
    <n v="0"/>
    <n v="0"/>
    <s v="NA"/>
    <n v="0.25"/>
    <n v="0"/>
    <n v="4.25"/>
    <n v="9"/>
    <n v="10"/>
    <n v="10"/>
    <n v="75"/>
    <n v="0"/>
    <s v="NA"/>
    <s v="tusengylden"/>
    <n v="1"/>
    <s v="dødt"/>
    <n v="3"/>
    <n v="4"/>
    <n v="3"/>
    <n v="7"/>
    <n v="11"/>
    <n v="7"/>
    <m/>
    <m/>
    <m/>
    <s v="NA"/>
    <m/>
    <s v="Beite"/>
    <m/>
    <m/>
    <d v="2022-07-04T00:00:00"/>
    <m/>
  </r>
  <r>
    <x v="3"/>
    <s v="TEN14"/>
    <x v="3"/>
    <n v="0"/>
    <s v="TR2"/>
    <n v="10"/>
    <n v="0"/>
    <n v="0"/>
    <n v="0"/>
    <s v="NA"/>
    <n v="0.25"/>
    <n v="0"/>
    <n v="12.75"/>
    <n v="17.5"/>
    <n v="85"/>
    <s v="NA"/>
    <n v="10"/>
    <s v="3+2"/>
    <s v="strandkjeks+kirsebær"/>
    <s v="tusengylden"/>
    <n v="0.1"/>
    <s v="i tråkk"/>
    <n v="10"/>
    <n v="20"/>
    <n v="12"/>
    <n v="9"/>
    <n v="22"/>
    <n v="13"/>
    <m/>
    <m/>
    <m/>
    <s v="NA"/>
    <m/>
    <s v="Beite"/>
    <m/>
    <m/>
    <d v="2022-07-04T00:00:00"/>
    <m/>
  </r>
  <r>
    <x v="3"/>
    <s v="TEN15"/>
    <x v="3"/>
    <n v="0"/>
    <s v="TR2"/>
    <n v="20"/>
    <n v="0"/>
    <n v="0"/>
    <n v="0"/>
    <s v="NA"/>
    <n v="0.25"/>
    <n v="0"/>
    <n v="9"/>
    <n v="18"/>
    <n v="30"/>
    <n v="0"/>
    <n v="20"/>
    <n v="0"/>
    <s v="NA"/>
    <s v="tusengylden"/>
    <n v="0.1"/>
    <m/>
    <n v="5"/>
    <n v="11"/>
    <n v="8"/>
    <n v="12"/>
    <n v="11"/>
    <n v="25"/>
    <m/>
    <m/>
    <m/>
    <s v="NA"/>
    <m/>
    <s v="Beite"/>
    <m/>
    <m/>
    <d v="2022-07-04T00:00:00"/>
    <m/>
  </r>
  <r>
    <x v="3"/>
    <s v="TEN2"/>
    <x v="3"/>
    <n v="1"/>
    <s v="NA"/>
    <s v="NA"/>
    <n v="0"/>
    <n v="0"/>
    <n v="0"/>
    <s v="NA"/>
    <n v="0.25"/>
    <n v="0"/>
    <n v="10.75"/>
    <n v="11.75"/>
    <n v="70"/>
    <n v="0"/>
    <n v="30"/>
    <n v="0"/>
    <s v="NA"/>
    <s v="hjertegras"/>
    <n v="3"/>
    <m/>
    <n v="11"/>
    <n v="9"/>
    <n v="16"/>
    <n v="7"/>
    <n v="12.5"/>
    <n v="11"/>
    <m/>
    <m/>
    <m/>
    <s v="NA"/>
    <m/>
    <s v="Beite"/>
    <m/>
    <m/>
    <d v="2022-07-04T00:00:00"/>
    <m/>
  </r>
  <r>
    <x v="3"/>
    <s v="TEN3"/>
    <x v="3"/>
    <n v="1"/>
    <s v="NA"/>
    <s v="NA"/>
    <n v="28"/>
    <n v="5"/>
    <n v="23"/>
    <n v="0.17857142857142858"/>
    <n v="0.25"/>
    <n v="28"/>
    <n v="7.5"/>
    <n v="11"/>
    <n v="75"/>
    <n v="10"/>
    <n v="20"/>
    <n v="0"/>
    <s v="NA"/>
    <s v="tusengylden"/>
    <n v="1"/>
    <s v="veldig lave blomsterknopper"/>
    <n v="7"/>
    <n v="7"/>
    <n v="6"/>
    <n v="10"/>
    <n v="14"/>
    <n v="8"/>
    <m/>
    <m/>
    <m/>
    <s v="NA"/>
    <m/>
    <s v="Beite"/>
    <m/>
    <m/>
    <d v="2022-07-04T00:00:00"/>
    <m/>
  </r>
  <r>
    <x v="3"/>
    <s v="TEN4"/>
    <x v="3"/>
    <n v="1"/>
    <s v="NA"/>
    <s v="NA"/>
    <n v="15"/>
    <n v="3"/>
    <n v="12"/>
    <n v="0.2"/>
    <n v="0.25"/>
    <n v="15"/>
    <n v="5.25"/>
    <n v="7.5"/>
    <n v="90"/>
    <n v="1"/>
    <n v="10"/>
    <n v="0.1"/>
    <s v="strandkjeks"/>
    <s v="tusengylden"/>
    <n v="0.1"/>
    <s v="1 beitet på"/>
    <n v="2"/>
    <n v="4"/>
    <n v="3"/>
    <n v="12"/>
    <n v="9"/>
    <n v="6"/>
    <m/>
    <m/>
    <m/>
    <s v="NA"/>
    <m/>
    <s v="Beite"/>
    <m/>
    <m/>
    <d v="2022-07-04T00:00:00"/>
    <m/>
  </r>
  <r>
    <x v="3"/>
    <s v="TEN5"/>
    <x v="3"/>
    <n v="1"/>
    <s v="NA"/>
    <s v="NA"/>
    <n v="8"/>
    <n v="0"/>
    <n v="8"/>
    <s v="NA"/>
    <n v="0.25"/>
    <n v="8"/>
    <n v="9.75"/>
    <n v="14"/>
    <n v="95"/>
    <n v="0"/>
    <n v="10"/>
    <n v="4"/>
    <s v="Mjødurt"/>
    <s v="hjertegras"/>
    <n v="1"/>
    <m/>
    <n v="6"/>
    <n v="10"/>
    <n v="10"/>
    <n v="13"/>
    <n v="16"/>
    <n v="12"/>
    <m/>
    <m/>
    <m/>
    <s v="NA"/>
    <m/>
    <s v="Beite"/>
    <m/>
    <m/>
    <d v="2022-07-04T00:00:00"/>
    <m/>
  </r>
  <r>
    <x v="3"/>
    <s v="TEN6"/>
    <x v="3"/>
    <n v="1"/>
    <s v="NA"/>
    <s v="NA"/>
    <n v="0"/>
    <n v="0"/>
    <n v="0"/>
    <s v="NA"/>
    <n v="0.25"/>
    <n v="0"/>
    <n v="7.5"/>
    <n v="9.25"/>
    <n v="75"/>
    <n v="1"/>
    <n v="15"/>
    <n v="7"/>
    <s v="mjødurt"/>
    <s v="hjertegras"/>
    <n v="3"/>
    <m/>
    <n v="6"/>
    <n v="7"/>
    <n v="11"/>
    <n v="6"/>
    <n v="5"/>
    <n v="13.5"/>
    <m/>
    <m/>
    <m/>
    <s v="NA"/>
    <m/>
    <s v="Beite"/>
    <m/>
    <m/>
    <d v="2022-07-04T00:00:00"/>
    <m/>
  </r>
  <r>
    <x v="3"/>
    <s v="TEN7"/>
    <x v="3"/>
    <n v="1"/>
    <s v="NA"/>
    <s v="NA"/>
    <n v="0"/>
    <n v="0"/>
    <n v="0"/>
    <s v="NA"/>
    <n v="0.25"/>
    <n v="0"/>
    <n v="3.75"/>
    <n v="10.5"/>
    <n v="40"/>
    <n v="15"/>
    <n v="50"/>
    <n v="0"/>
    <s v="NA"/>
    <s v="hjertegras"/>
    <n v="3"/>
    <m/>
    <n v="4"/>
    <n v="4"/>
    <n v="3"/>
    <n v="4"/>
    <n v="9"/>
    <n v="12"/>
    <m/>
    <m/>
    <m/>
    <s v="NA"/>
    <m/>
    <s v="Beite"/>
    <m/>
    <m/>
    <d v="2022-07-04T00:00:00"/>
    <m/>
  </r>
  <r>
    <x v="3"/>
    <s v="TEN8"/>
    <x v="3"/>
    <n v="1"/>
    <s v="NA"/>
    <s v="NA"/>
    <n v="1"/>
    <n v="0"/>
    <n v="1"/>
    <n v="0"/>
    <n v="0.25"/>
    <n v="1"/>
    <n v="3"/>
    <n v="8.5"/>
    <n v="15"/>
    <n v="10"/>
    <n v="75"/>
    <n v="0"/>
    <s v="NA"/>
    <s v="NA"/>
    <n v="0"/>
    <m/>
    <n v="2"/>
    <n v="3"/>
    <n v="4"/>
    <n v="3"/>
    <n v="9"/>
    <n v="8"/>
    <m/>
    <m/>
    <m/>
    <s v="NA"/>
    <m/>
    <s v="Beite"/>
    <m/>
    <m/>
    <d v="2022-07-04T00:00:00"/>
    <m/>
  </r>
  <r>
    <x v="3"/>
    <s v="TEN9"/>
    <x v="3"/>
    <n v="1"/>
    <s v="NA"/>
    <s v="NA"/>
    <n v="3"/>
    <n v="0"/>
    <n v="3"/>
    <s v="NA"/>
    <n v="0.25"/>
    <n v="3"/>
    <n v="4.333333333333333"/>
    <n v="16.25"/>
    <n v="65"/>
    <n v="40"/>
    <n v="15"/>
    <n v="0"/>
    <s v="NA"/>
    <s v="hjertegras"/>
    <n v="1"/>
    <m/>
    <n v="6"/>
    <n v="5"/>
    <n v="3"/>
    <n v="5"/>
    <n v="21"/>
    <n v="11.5"/>
    <m/>
    <m/>
    <m/>
    <s v="NA"/>
    <m/>
    <s v="Beite"/>
    <m/>
    <m/>
    <d v="2022-07-04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C684E0-5362-4D3D-B4DF-1A903594A68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6" firstHeaderRow="1" firstDataRow="3" firstDataCol="1"/>
  <pivotFields count="38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1">
        <item x="4"/>
        <item x="5"/>
        <item x="6"/>
        <item x="7"/>
        <item x="8"/>
        <item x="9"/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0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Ant.individer" fld="6" baseField="2" baseItem="0"/>
    <dataField name="Average of And.fertile" fld="9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4399-EA93-47D5-B059-3EADD885F504}">
  <dimension ref="A1:M21"/>
  <sheetViews>
    <sheetView topLeftCell="H1" workbookViewId="0">
      <selection activeCell="C20" sqref="C20"/>
    </sheetView>
  </sheetViews>
  <sheetFormatPr defaultColWidth="9" defaultRowHeight="15" x14ac:dyDescent="0.25"/>
  <cols>
    <col min="1" max="1" width="19" style="14" customWidth="1"/>
    <col min="2" max="2" width="9" style="14"/>
    <col min="3" max="3" width="9.875" style="14" bestFit="1" customWidth="1"/>
    <col min="4" max="6" width="9" style="14"/>
    <col min="7" max="7" width="19.75" style="14" bestFit="1" customWidth="1"/>
    <col min="8" max="8" width="23.25" style="14" bestFit="1" customWidth="1"/>
    <col min="9" max="10" width="9" style="14"/>
    <col min="11" max="11" width="15" style="14" customWidth="1"/>
    <col min="12" max="12" width="25.375" style="14" customWidth="1"/>
    <col min="13" max="13" width="44.125" style="14" customWidth="1"/>
    <col min="14" max="16384" width="9" style="14"/>
  </cols>
  <sheetData>
    <row r="1" spans="1:13" x14ac:dyDescent="0.25">
      <c r="A1" s="29"/>
      <c r="B1" s="29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A2" s="29"/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4" spans="1:13" ht="30" x14ac:dyDescent="0.25">
      <c r="A4" s="6" t="s">
        <v>0</v>
      </c>
      <c r="B4" s="6" t="s">
        <v>556</v>
      </c>
      <c r="C4" s="6" t="s">
        <v>1</v>
      </c>
      <c r="D4" s="6" t="s">
        <v>559</v>
      </c>
      <c r="E4" s="17" t="s">
        <v>2</v>
      </c>
      <c r="F4" s="6" t="s">
        <v>3</v>
      </c>
      <c r="G4" s="6" t="s">
        <v>4</v>
      </c>
      <c r="H4" s="6" t="s">
        <v>557</v>
      </c>
      <c r="I4" s="6" t="s">
        <v>5</v>
      </c>
      <c r="J4" s="6" t="s">
        <v>6</v>
      </c>
      <c r="K4" s="6" t="s">
        <v>7</v>
      </c>
      <c r="L4" s="17" t="s">
        <v>8</v>
      </c>
      <c r="M4" s="17" t="s">
        <v>9</v>
      </c>
    </row>
    <row r="5" spans="1:13" x14ac:dyDescent="0.25">
      <c r="A5" s="30" t="s">
        <v>10</v>
      </c>
      <c r="B5" s="30">
        <v>2020</v>
      </c>
      <c r="C5" s="31">
        <v>44004</v>
      </c>
      <c r="D5" s="30" t="s">
        <v>11</v>
      </c>
      <c r="E5" s="30">
        <v>8</v>
      </c>
      <c r="F5" s="30" t="s">
        <v>12</v>
      </c>
      <c r="G5" s="30" t="s">
        <v>13</v>
      </c>
      <c r="H5" s="30" t="s">
        <v>14</v>
      </c>
      <c r="I5" s="30" t="s">
        <v>15</v>
      </c>
      <c r="J5" s="30">
        <v>8</v>
      </c>
      <c r="K5" s="30"/>
      <c r="L5" s="30" t="s">
        <v>16</v>
      </c>
      <c r="M5" s="30"/>
    </row>
    <row r="6" spans="1:13" x14ac:dyDescent="0.25">
      <c r="A6" s="30" t="s">
        <v>10</v>
      </c>
      <c r="B6" s="30">
        <v>2021</v>
      </c>
      <c r="C6" s="32">
        <v>44378</v>
      </c>
      <c r="D6" s="30" t="s">
        <v>17</v>
      </c>
      <c r="E6" s="30">
        <v>6</v>
      </c>
      <c r="F6" s="30" t="s">
        <v>12</v>
      </c>
      <c r="G6" s="30" t="s">
        <v>13</v>
      </c>
      <c r="H6" s="30" t="s">
        <v>14</v>
      </c>
      <c r="I6" s="30" t="s">
        <v>15</v>
      </c>
      <c r="J6" s="30">
        <v>8</v>
      </c>
      <c r="K6" s="30"/>
      <c r="L6" s="30" t="s">
        <v>16</v>
      </c>
      <c r="M6" s="30" t="s">
        <v>18</v>
      </c>
    </row>
    <row r="7" spans="1:13" x14ac:dyDescent="0.25">
      <c r="A7" s="30" t="s">
        <v>19</v>
      </c>
      <c r="B7" s="30">
        <v>2021</v>
      </c>
      <c r="C7" s="32">
        <v>44379</v>
      </c>
      <c r="D7" s="30" t="s">
        <v>20</v>
      </c>
      <c r="E7" s="30">
        <v>4</v>
      </c>
      <c r="F7" s="30" t="s">
        <v>12</v>
      </c>
      <c r="G7" s="30" t="s">
        <v>13</v>
      </c>
      <c r="H7" s="30" t="s">
        <v>21</v>
      </c>
      <c r="I7" s="30" t="s">
        <v>22</v>
      </c>
      <c r="J7" s="30">
        <v>3</v>
      </c>
      <c r="K7" s="30">
        <v>10</v>
      </c>
      <c r="L7" s="30"/>
      <c r="M7" s="30" t="s">
        <v>23</v>
      </c>
    </row>
    <row r="8" spans="1:13" x14ac:dyDescent="0.25">
      <c r="A8" s="52" t="s">
        <v>558</v>
      </c>
      <c r="B8" s="30">
        <v>2021</v>
      </c>
      <c r="C8" s="32">
        <v>44379</v>
      </c>
      <c r="D8" s="30" t="s">
        <v>20</v>
      </c>
      <c r="E8" s="30">
        <v>3</v>
      </c>
      <c r="F8" s="30" t="s">
        <v>12</v>
      </c>
      <c r="G8" s="30" t="s">
        <v>13</v>
      </c>
      <c r="H8" s="30" t="s">
        <v>24</v>
      </c>
      <c r="I8" s="30" t="s">
        <v>22</v>
      </c>
      <c r="J8" s="30">
        <v>2</v>
      </c>
      <c r="K8" s="30">
        <v>10</v>
      </c>
      <c r="L8" s="30"/>
      <c r="M8" s="30" t="s">
        <v>25</v>
      </c>
    </row>
    <row r="9" spans="1:13" x14ac:dyDescent="0.25">
      <c r="A9" s="30" t="s">
        <v>26</v>
      </c>
      <c r="B9" s="30">
        <v>2021</v>
      </c>
      <c r="C9" s="32">
        <v>44379</v>
      </c>
      <c r="D9" s="30" t="s">
        <v>20</v>
      </c>
      <c r="E9" s="30">
        <v>7</v>
      </c>
      <c r="F9" s="30" t="s">
        <v>27</v>
      </c>
      <c r="G9" s="30" t="s">
        <v>28</v>
      </c>
      <c r="H9" s="30" t="s">
        <v>21</v>
      </c>
      <c r="I9" s="30" t="s">
        <v>22</v>
      </c>
      <c r="J9" s="30">
        <v>4</v>
      </c>
      <c r="K9" s="30">
        <v>7.5</v>
      </c>
      <c r="L9" s="30"/>
      <c r="M9" s="30" t="s">
        <v>29</v>
      </c>
    </row>
    <row r="10" spans="1:13" x14ac:dyDescent="0.25">
      <c r="A10" s="30" t="s">
        <v>10</v>
      </c>
      <c r="B10" s="30">
        <v>2022</v>
      </c>
      <c r="C10" s="32">
        <v>44746</v>
      </c>
      <c r="D10" s="49" t="s">
        <v>548</v>
      </c>
      <c r="E10" s="30">
        <v>6</v>
      </c>
      <c r="F10" s="30" t="s">
        <v>12</v>
      </c>
      <c r="G10" s="30" t="s">
        <v>13</v>
      </c>
      <c r="H10" s="30" t="s">
        <v>14</v>
      </c>
      <c r="I10" s="30" t="s">
        <v>15</v>
      </c>
      <c r="J10" s="30">
        <v>8</v>
      </c>
      <c r="K10" s="30"/>
      <c r="L10" s="30" t="s">
        <v>16</v>
      </c>
      <c r="M10" s="30" t="s">
        <v>18</v>
      </c>
    </row>
    <row r="11" spans="1:13" x14ac:dyDescent="0.25">
      <c r="A11" s="30" t="s">
        <v>19</v>
      </c>
      <c r="B11" s="30">
        <v>2022</v>
      </c>
      <c r="C11" s="32">
        <v>44746</v>
      </c>
      <c r="D11" s="49" t="s">
        <v>548</v>
      </c>
      <c r="E11" s="30">
        <v>4</v>
      </c>
      <c r="F11" s="30" t="s">
        <v>12</v>
      </c>
      <c r="G11" s="30" t="s">
        <v>13</v>
      </c>
      <c r="H11" s="30" t="s">
        <v>21</v>
      </c>
      <c r="I11" s="30" t="s">
        <v>22</v>
      </c>
      <c r="J11" s="30">
        <v>3</v>
      </c>
      <c r="K11" s="30">
        <v>10</v>
      </c>
      <c r="L11" s="30"/>
      <c r="M11" s="30" t="s">
        <v>23</v>
      </c>
    </row>
    <row r="12" spans="1:13" x14ac:dyDescent="0.25">
      <c r="A12" s="52" t="s">
        <v>558</v>
      </c>
      <c r="B12" s="30">
        <v>2022</v>
      </c>
      <c r="C12" s="32">
        <v>44746</v>
      </c>
      <c r="D12" s="49" t="s">
        <v>548</v>
      </c>
      <c r="E12" s="30">
        <v>3</v>
      </c>
      <c r="F12" s="30" t="s">
        <v>12</v>
      </c>
      <c r="G12" s="30" t="s">
        <v>13</v>
      </c>
      <c r="H12" s="30" t="s">
        <v>24</v>
      </c>
      <c r="I12" s="30" t="s">
        <v>22</v>
      </c>
      <c r="J12" s="30">
        <v>2</v>
      </c>
      <c r="K12" s="30">
        <v>10</v>
      </c>
      <c r="L12" s="30"/>
      <c r="M12" s="30" t="s">
        <v>25</v>
      </c>
    </row>
    <row r="13" spans="1:13" x14ac:dyDescent="0.25">
      <c r="A13" s="30" t="s">
        <v>26</v>
      </c>
      <c r="B13" s="30">
        <v>2022</v>
      </c>
      <c r="C13" s="32">
        <v>44747</v>
      </c>
      <c r="D13" s="49" t="s">
        <v>548</v>
      </c>
      <c r="E13" s="30">
        <v>7</v>
      </c>
      <c r="F13" s="30" t="s">
        <v>27</v>
      </c>
      <c r="G13" s="30" t="s">
        <v>28</v>
      </c>
      <c r="H13" s="30" t="s">
        <v>21</v>
      </c>
      <c r="I13" s="30" t="s">
        <v>22</v>
      </c>
      <c r="J13" s="30">
        <v>4</v>
      </c>
      <c r="K13" s="30">
        <v>7.5</v>
      </c>
      <c r="L13" s="30"/>
      <c r="M13" s="30" t="s">
        <v>29</v>
      </c>
    </row>
    <row r="14" spans="1:13" x14ac:dyDescent="0.25">
      <c r="A14" s="30" t="s">
        <v>19</v>
      </c>
      <c r="B14" s="30">
        <v>2023</v>
      </c>
      <c r="C14" s="32">
        <v>45110</v>
      </c>
      <c r="D14" s="49" t="s">
        <v>548</v>
      </c>
      <c r="E14" s="30">
        <v>4</v>
      </c>
      <c r="F14" s="30" t="s">
        <v>12</v>
      </c>
      <c r="G14" s="30" t="s">
        <v>13</v>
      </c>
      <c r="H14" s="30" t="s">
        <v>21</v>
      </c>
      <c r="I14" s="30" t="s">
        <v>22</v>
      </c>
      <c r="J14" s="30">
        <v>3</v>
      </c>
      <c r="K14" s="30">
        <v>10</v>
      </c>
      <c r="L14" s="30"/>
      <c r="M14" s="57" t="s">
        <v>641</v>
      </c>
    </row>
    <row r="15" spans="1:13" x14ac:dyDescent="0.25">
      <c r="A15" s="30" t="s">
        <v>10</v>
      </c>
      <c r="B15" s="30">
        <v>2023</v>
      </c>
      <c r="C15" s="32">
        <v>45112</v>
      </c>
      <c r="D15" s="49" t="s">
        <v>548</v>
      </c>
      <c r="E15" s="30">
        <v>6</v>
      </c>
      <c r="F15" s="30" t="s">
        <v>12</v>
      </c>
      <c r="G15" s="30" t="s">
        <v>13</v>
      </c>
      <c r="H15" s="57" t="s">
        <v>14</v>
      </c>
      <c r="I15" s="30" t="s">
        <v>15</v>
      </c>
      <c r="J15" s="30">
        <v>8</v>
      </c>
      <c r="K15" s="30"/>
      <c r="L15" s="30" t="s">
        <v>16</v>
      </c>
      <c r="M15" s="57" t="s">
        <v>640</v>
      </c>
    </row>
    <row r="16" spans="1:13" x14ac:dyDescent="0.25">
      <c r="A16" s="30" t="s">
        <v>26</v>
      </c>
      <c r="B16" s="30">
        <v>2023</v>
      </c>
      <c r="C16" s="32">
        <v>45112</v>
      </c>
      <c r="D16" s="49" t="s">
        <v>548</v>
      </c>
      <c r="E16" s="30">
        <v>12</v>
      </c>
      <c r="F16" s="30" t="s">
        <v>27</v>
      </c>
      <c r="G16" s="30" t="s">
        <v>28</v>
      </c>
      <c r="H16" s="57" t="s">
        <v>644</v>
      </c>
      <c r="I16" s="30" t="s">
        <v>22</v>
      </c>
      <c r="J16" s="30">
        <v>4</v>
      </c>
      <c r="K16" s="30">
        <v>7.5</v>
      </c>
      <c r="L16" s="30"/>
      <c r="M16" s="57" t="s">
        <v>639</v>
      </c>
    </row>
    <row r="17" spans="1:13" x14ac:dyDescent="0.25">
      <c r="A17" s="52" t="s">
        <v>558</v>
      </c>
      <c r="B17" s="30">
        <v>2023</v>
      </c>
      <c r="C17" s="32">
        <v>45111</v>
      </c>
      <c r="D17" s="49" t="s">
        <v>548</v>
      </c>
      <c r="E17" s="30">
        <v>3</v>
      </c>
      <c r="F17" s="30" t="s">
        <v>12</v>
      </c>
      <c r="G17" s="30" t="s">
        <v>13</v>
      </c>
      <c r="H17" s="30" t="s">
        <v>24</v>
      </c>
      <c r="I17" s="30" t="s">
        <v>22</v>
      </c>
      <c r="J17" s="30">
        <v>2</v>
      </c>
      <c r="K17" s="30">
        <v>10</v>
      </c>
      <c r="L17" s="30"/>
      <c r="M17" s="57" t="s">
        <v>665</v>
      </c>
    </row>
    <row r="18" spans="1:13" x14ac:dyDescent="0.25">
      <c r="A18" s="30" t="s">
        <v>19</v>
      </c>
      <c r="B18" s="14">
        <v>2024</v>
      </c>
      <c r="C18" s="42">
        <v>45495</v>
      </c>
      <c r="D18" s="64" t="s">
        <v>673</v>
      </c>
      <c r="E18" s="14">
        <v>10</v>
      </c>
      <c r="F18" s="30" t="s">
        <v>12</v>
      </c>
      <c r="G18" s="30" t="s">
        <v>13</v>
      </c>
      <c r="H18" s="30" t="s">
        <v>21</v>
      </c>
      <c r="I18" s="30" t="s">
        <v>22</v>
      </c>
      <c r="J18" s="30">
        <v>3</v>
      </c>
      <c r="K18" s="30">
        <v>10</v>
      </c>
      <c r="M18" s="64" t="s">
        <v>674</v>
      </c>
    </row>
    <row r="19" spans="1:13" x14ac:dyDescent="0.25">
      <c r="A19" s="30" t="s">
        <v>10</v>
      </c>
      <c r="B19" s="14">
        <v>2024</v>
      </c>
      <c r="C19" s="42">
        <v>45496</v>
      </c>
      <c r="D19" s="64" t="s">
        <v>673</v>
      </c>
      <c r="E19" s="14">
        <v>9</v>
      </c>
      <c r="F19" s="30" t="s">
        <v>12</v>
      </c>
      <c r="G19" s="30" t="s">
        <v>13</v>
      </c>
      <c r="H19" s="57" t="s">
        <v>14</v>
      </c>
      <c r="I19" s="30" t="s">
        <v>15</v>
      </c>
      <c r="J19" s="30">
        <v>8</v>
      </c>
      <c r="K19" s="30"/>
      <c r="L19" s="30" t="s">
        <v>16</v>
      </c>
      <c r="M19" s="64" t="s">
        <v>674</v>
      </c>
    </row>
    <row r="20" spans="1:13" x14ac:dyDescent="0.25">
      <c r="A20" s="30" t="s">
        <v>26</v>
      </c>
      <c r="B20" s="14">
        <v>2024</v>
      </c>
      <c r="C20" s="42">
        <v>45497</v>
      </c>
      <c r="D20" s="64" t="s">
        <v>673</v>
      </c>
      <c r="E20" s="14">
        <v>11</v>
      </c>
      <c r="F20" s="30" t="s">
        <v>27</v>
      </c>
      <c r="G20" s="30" t="s">
        <v>28</v>
      </c>
      <c r="H20" s="57" t="s">
        <v>644</v>
      </c>
      <c r="I20" s="30" t="s">
        <v>22</v>
      </c>
      <c r="J20" s="30">
        <v>4</v>
      </c>
      <c r="K20" s="30">
        <v>7.5</v>
      </c>
      <c r="M20" s="64" t="s">
        <v>674</v>
      </c>
    </row>
    <row r="21" spans="1:13" x14ac:dyDescent="0.25">
      <c r="A21" s="52" t="s">
        <v>558</v>
      </c>
      <c r="B21" s="14">
        <v>2024</v>
      </c>
      <c r="C21" s="42">
        <v>45498</v>
      </c>
      <c r="D21" s="64" t="s">
        <v>673</v>
      </c>
      <c r="E21" s="14">
        <v>10</v>
      </c>
      <c r="F21" s="30" t="s">
        <v>12</v>
      </c>
      <c r="G21" s="30" t="s">
        <v>13</v>
      </c>
      <c r="H21" s="30" t="s">
        <v>24</v>
      </c>
      <c r="I21" s="30" t="s">
        <v>22</v>
      </c>
      <c r="J21" s="30">
        <v>2</v>
      </c>
      <c r="K21" s="30">
        <v>10</v>
      </c>
      <c r="M21" s="64" t="s">
        <v>674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DF98-F237-4357-BE71-C6125888F244}">
  <dimension ref="A1:L77"/>
  <sheetViews>
    <sheetView workbookViewId="0">
      <pane xSplit="5" ySplit="1" topLeftCell="G30" activePane="bottomRight" state="frozen"/>
      <selection pane="topRight" activeCell="F1" sqref="F1"/>
      <selection pane="bottomLeft" activeCell="A2" sqref="A2"/>
      <selection pane="bottomRight" activeCell="E30" sqref="E30"/>
    </sheetView>
  </sheetViews>
  <sheetFormatPr defaultColWidth="7.625" defaultRowHeight="15" x14ac:dyDescent="0.25"/>
  <cols>
    <col min="1" max="1" width="11" style="8" bestFit="1" customWidth="1"/>
    <col min="2" max="2" width="5.875" style="8" customWidth="1"/>
    <col min="3" max="3" width="9.125" style="8" bestFit="1" customWidth="1"/>
    <col min="4" max="4" width="7.625" style="8"/>
    <col min="5" max="5" width="9.125" style="8" customWidth="1"/>
    <col min="6" max="7" width="11.625" style="8" customWidth="1"/>
    <col min="8" max="8" width="18.75" style="8" customWidth="1"/>
    <col min="9" max="10" width="29.875" style="8" customWidth="1"/>
    <col min="11" max="11" width="12.5" style="8" customWidth="1"/>
    <col min="12" max="12" width="23.25" style="8" bestFit="1" customWidth="1"/>
    <col min="13" max="16384" width="7.625" style="8"/>
  </cols>
  <sheetData>
    <row r="1" spans="1:12" x14ac:dyDescent="0.25">
      <c r="A1" s="7" t="s">
        <v>0</v>
      </c>
      <c r="B1" s="7" t="s">
        <v>556</v>
      </c>
      <c r="C1" s="7" t="s">
        <v>1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668</v>
      </c>
      <c r="K1" s="7" t="s">
        <v>9</v>
      </c>
      <c r="L1" s="7" t="s">
        <v>557</v>
      </c>
    </row>
    <row r="2" spans="1:12" x14ac:dyDescent="0.25">
      <c r="A2" s="8" t="s">
        <v>10</v>
      </c>
      <c r="B2" s="8">
        <v>2020</v>
      </c>
      <c r="C2" s="9">
        <v>44004</v>
      </c>
      <c r="D2" s="8" t="s">
        <v>36</v>
      </c>
      <c r="E2" s="8">
        <v>8</v>
      </c>
      <c r="F2" s="11">
        <v>0</v>
      </c>
      <c r="G2" s="33" t="s">
        <v>37</v>
      </c>
      <c r="H2" s="8" t="s">
        <v>38</v>
      </c>
      <c r="K2" s="8" t="s">
        <v>39</v>
      </c>
    </row>
    <row r="3" spans="1:12" x14ac:dyDescent="0.25">
      <c r="A3" s="8" t="s">
        <v>10</v>
      </c>
      <c r="B3" s="8">
        <v>2020</v>
      </c>
      <c r="C3" s="9">
        <v>44004</v>
      </c>
      <c r="D3" s="8" t="s">
        <v>553</v>
      </c>
      <c r="E3" s="8">
        <v>3</v>
      </c>
      <c r="F3" s="11">
        <v>0</v>
      </c>
      <c r="G3" s="33" t="s">
        <v>37</v>
      </c>
    </row>
    <row r="4" spans="1:12" x14ac:dyDescent="0.25">
      <c r="A4" s="8" t="s">
        <v>10</v>
      </c>
      <c r="B4" s="8">
        <v>2020</v>
      </c>
      <c r="C4" s="9">
        <v>44004</v>
      </c>
      <c r="D4" s="8" t="s">
        <v>554</v>
      </c>
      <c r="E4" s="8">
        <v>4</v>
      </c>
      <c r="F4" s="11">
        <v>0</v>
      </c>
      <c r="G4" s="33" t="s">
        <v>37</v>
      </c>
    </row>
    <row r="5" spans="1:12" x14ac:dyDescent="0.25">
      <c r="A5" s="8" t="s">
        <v>10</v>
      </c>
      <c r="B5" s="8">
        <v>2020</v>
      </c>
      <c r="C5" s="9">
        <v>44004</v>
      </c>
      <c r="D5" s="8" t="s">
        <v>555</v>
      </c>
      <c r="E5" s="8">
        <v>10</v>
      </c>
      <c r="F5" s="11">
        <v>0</v>
      </c>
      <c r="G5" s="33" t="s">
        <v>37</v>
      </c>
      <c r="K5" s="8" t="s">
        <v>40</v>
      </c>
    </row>
    <row r="6" spans="1:12" x14ac:dyDescent="0.25">
      <c r="A6" s="8" t="s">
        <v>10</v>
      </c>
      <c r="B6" s="8">
        <v>2020</v>
      </c>
      <c r="C6" s="9">
        <v>44004</v>
      </c>
      <c r="D6" s="8" t="s">
        <v>41</v>
      </c>
      <c r="E6" s="10">
        <v>20</v>
      </c>
      <c r="F6" s="11">
        <v>5</v>
      </c>
      <c r="G6" s="33" t="s">
        <v>37</v>
      </c>
      <c r="H6" s="8" t="s">
        <v>42</v>
      </c>
      <c r="I6" s="8" t="s">
        <v>43</v>
      </c>
      <c r="J6" s="8" t="s">
        <v>43</v>
      </c>
    </row>
    <row r="7" spans="1:12" x14ac:dyDescent="0.25">
      <c r="A7" s="8" t="s">
        <v>10</v>
      </c>
      <c r="B7" s="8">
        <v>2020</v>
      </c>
      <c r="C7" s="9">
        <v>44004</v>
      </c>
      <c r="D7" s="8" t="s">
        <v>44</v>
      </c>
      <c r="E7" s="10">
        <v>9.5</v>
      </c>
      <c r="F7" s="11">
        <v>4</v>
      </c>
      <c r="G7" s="33" t="s">
        <v>37</v>
      </c>
      <c r="H7" s="8" t="s">
        <v>45</v>
      </c>
      <c r="I7" s="8" t="s">
        <v>46</v>
      </c>
      <c r="J7" s="8" t="s">
        <v>46</v>
      </c>
    </row>
    <row r="8" spans="1:12" x14ac:dyDescent="0.25">
      <c r="A8" s="8" t="s">
        <v>10</v>
      </c>
      <c r="B8" s="8">
        <v>2020</v>
      </c>
      <c r="C8" s="9">
        <v>44004</v>
      </c>
      <c r="D8" s="8" t="s">
        <v>47</v>
      </c>
      <c r="E8" s="8">
        <v>12</v>
      </c>
      <c r="F8" s="11">
        <v>8</v>
      </c>
      <c r="G8" s="33" t="s">
        <v>37</v>
      </c>
      <c r="H8" s="8" t="s">
        <v>48</v>
      </c>
      <c r="I8" s="53" t="s">
        <v>49</v>
      </c>
      <c r="J8" s="53" t="s">
        <v>49</v>
      </c>
    </row>
    <row r="9" spans="1:12" x14ac:dyDescent="0.25">
      <c r="A9" s="8" t="s">
        <v>10</v>
      </c>
      <c r="B9" s="8">
        <v>2020</v>
      </c>
      <c r="C9" s="9">
        <v>44004</v>
      </c>
      <c r="D9" s="8" t="s">
        <v>50</v>
      </c>
      <c r="E9" s="8">
        <v>20</v>
      </c>
      <c r="F9" s="11">
        <v>1</v>
      </c>
      <c r="G9" s="33" t="s">
        <v>37</v>
      </c>
      <c r="H9" s="8" t="s">
        <v>51</v>
      </c>
      <c r="I9" s="11">
        <v>2</v>
      </c>
      <c r="J9" s="11">
        <v>2</v>
      </c>
      <c r="K9" s="37" t="s">
        <v>52</v>
      </c>
    </row>
    <row r="10" spans="1:12" x14ac:dyDescent="0.25">
      <c r="A10" s="29" t="s">
        <v>19</v>
      </c>
      <c r="B10" s="8">
        <v>2021</v>
      </c>
      <c r="C10" s="9">
        <v>44379</v>
      </c>
      <c r="D10" s="8">
        <v>1</v>
      </c>
      <c r="E10" s="8">
        <v>30</v>
      </c>
      <c r="F10" s="29" t="s">
        <v>37</v>
      </c>
      <c r="G10" s="8">
        <v>1</v>
      </c>
      <c r="I10" s="8">
        <v>5</v>
      </c>
      <c r="J10" s="8">
        <v>5</v>
      </c>
      <c r="K10" s="29" t="s">
        <v>53</v>
      </c>
    </row>
    <row r="11" spans="1:12" x14ac:dyDescent="0.25">
      <c r="A11" s="29" t="s">
        <v>19</v>
      </c>
      <c r="B11" s="8">
        <v>2021</v>
      </c>
      <c r="C11" s="9">
        <v>44379</v>
      </c>
      <c r="D11" s="8">
        <v>2</v>
      </c>
      <c r="E11" s="8">
        <v>30</v>
      </c>
      <c r="F11" s="29" t="s">
        <v>37</v>
      </c>
      <c r="G11" s="8">
        <v>0</v>
      </c>
    </row>
    <row r="12" spans="1:12" x14ac:dyDescent="0.25">
      <c r="A12" s="29" t="s">
        <v>19</v>
      </c>
      <c r="B12" s="8">
        <v>2021</v>
      </c>
      <c r="C12" s="9">
        <v>44379</v>
      </c>
      <c r="D12" s="8">
        <v>3</v>
      </c>
      <c r="E12" s="8">
        <v>30</v>
      </c>
      <c r="F12" s="29" t="s">
        <v>37</v>
      </c>
      <c r="G12" s="8">
        <v>1</v>
      </c>
      <c r="I12" s="8">
        <v>11</v>
      </c>
      <c r="J12" s="8">
        <v>11</v>
      </c>
      <c r="K12" s="29" t="s">
        <v>54</v>
      </c>
    </row>
    <row r="13" spans="1:12" x14ac:dyDescent="0.25">
      <c r="A13" s="29" t="s">
        <v>10</v>
      </c>
      <c r="B13" s="8">
        <v>2021</v>
      </c>
      <c r="C13" s="9">
        <v>44378</v>
      </c>
      <c r="D13" s="29" t="s">
        <v>36</v>
      </c>
      <c r="E13" s="8">
        <v>8</v>
      </c>
      <c r="F13" s="8">
        <v>0</v>
      </c>
      <c r="G13" s="62" t="s">
        <v>37</v>
      </c>
      <c r="H13" s="29" t="s">
        <v>38</v>
      </c>
      <c r="K13" s="8" t="s">
        <v>39</v>
      </c>
    </row>
    <row r="14" spans="1:12" x14ac:dyDescent="0.25">
      <c r="A14" s="29" t="s">
        <v>10</v>
      </c>
      <c r="B14" s="8">
        <v>2021</v>
      </c>
      <c r="C14" s="9">
        <v>44378</v>
      </c>
      <c r="D14" s="29" t="s">
        <v>553</v>
      </c>
      <c r="E14" s="8">
        <v>3</v>
      </c>
      <c r="F14" s="8">
        <v>0</v>
      </c>
      <c r="G14" s="29" t="s">
        <v>37</v>
      </c>
    </row>
    <row r="15" spans="1:12" x14ac:dyDescent="0.25">
      <c r="A15" s="29" t="s">
        <v>10</v>
      </c>
      <c r="B15" s="8">
        <v>2021</v>
      </c>
      <c r="C15" s="9">
        <v>44378</v>
      </c>
      <c r="D15" s="29" t="s">
        <v>554</v>
      </c>
      <c r="E15" s="8">
        <v>4</v>
      </c>
      <c r="F15" s="8">
        <v>0</v>
      </c>
      <c r="G15" s="29" t="s">
        <v>37</v>
      </c>
    </row>
    <row r="16" spans="1:12" x14ac:dyDescent="0.25">
      <c r="A16" s="29" t="s">
        <v>10</v>
      </c>
      <c r="B16" s="8">
        <v>2021</v>
      </c>
      <c r="C16" s="9">
        <v>44378</v>
      </c>
      <c r="D16" s="29" t="s">
        <v>555</v>
      </c>
      <c r="E16" s="8">
        <v>10</v>
      </c>
      <c r="F16" s="8">
        <v>0</v>
      </c>
      <c r="G16" s="29" t="s">
        <v>37</v>
      </c>
    </row>
    <row r="17" spans="1:12" x14ac:dyDescent="0.25">
      <c r="A17" s="29" t="s">
        <v>10</v>
      </c>
      <c r="B17" s="8">
        <v>2021</v>
      </c>
      <c r="C17" s="9">
        <v>44378</v>
      </c>
      <c r="D17" s="29" t="s">
        <v>41</v>
      </c>
      <c r="E17" s="8">
        <v>20</v>
      </c>
      <c r="F17" s="8">
        <v>4</v>
      </c>
      <c r="G17" s="29" t="s">
        <v>37</v>
      </c>
      <c r="H17" s="50" t="s">
        <v>42</v>
      </c>
      <c r="I17" s="53" t="s">
        <v>55</v>
      </c>
      <c r="J17" s="53" t="s">
        <v>55</v>
      </c>
    </row>
    <row r="18" spans="1:12" x14ac:dyDescent="0.25">
      <c r="A18" s="29" t="s">
        <v>10</v>
      </c>
      <c r="B18" s="8">
        <v>2021</v>
      </c>
      <c r="C18" s="9">
        <v>44378</v>
      </c>
      <c r="D18" s="29" t="s">
        <v>44</v>
      </c>
      <c r="E18" s="8">
        <v>9.5</v>
      </c>
      <c r="F18" s="8">
        <v>2</v>
      </c>
      <c r="G18" s="29" t="s">
        <v>37</v>
      </c>
      <c r="H18" s="29" t="s">
        <v>45</v>
      </c>
      <c r="I18" s="29" t="s">
        <v>56</v>
      </c>
      <c r="J18" s="29" t="s">
        <v>56</v>
      </c>
    </row>
    <row r="19" spans="1:12" x14ac:dyDescent="0.25">
      <c r="A19" s="29" t="s">
        <v>10</v>
      </c>
      <c r="B19" s="8">
        <v>2021</v>
      </c>
      <c r="C19" s="9">
        <v>44378</v>
      </c>
      <c r="D19" s="29" t="s">
        <v>47</v>
      </c>
      <c r="E19" s="8">
        <v>12</v>
      </c>
      <c r="F19" s="8">
        <v>6</v>
      </c>
      <c r="G19" s="29" t="s">
        <v>37</v>
      </c>
      <c r="H19" s="29" t="s">
        <v>48</v>
      </c>
      <c r="I19" s="53" t="s">
        <v>57</v>
      </c>
      <c r="J19" s="53" t="s">
        <v>57</v>
      </c>
    </row>
    <row r="20" spans="1:12" x14ac:dyDescent="0.25">
      <c r="A20" s="29" t="s">
        <v>10</v>
      </c>
      <c r="B20" s="8">
        <v>2021</v>
      </c>
      <c r="C20" s="9">
        <v>44378</v>
      </c>
      <c r="D20" s="29" t="s">
        <v>50</v>
      </c>
      <c r="E20" s="8">
        <v>20</v>
      </c>
      <c r="F20" s="8">
        <v>2</v>
      </c>
      <c r="G20" s="29" t="s">
        <v>37</v>
      </c>
      <c r="H20" s="29" t="s">
        <v>51</v>
      </c>
      <c r="I20" s="29" t="s">
        <v>58</v>
      </c>
      <c r="J20" s="29" t="s">
        <v>58</v>
      </c>
    </row>
    <row r="21" spans="1:12" x14ac:dyDescent="0.25">
      <c r="A21" s="51" t="s">
        <v>558</v>
      </c>
      <c r="B21" s="8">
        <v>2021</v>
      </c>
      <c r="C21" s="9">
        <v>44379</v>
      </c>
      <c r="D21" s="8">
        <v>1</v>
      </c>
      <c r="E21" s="8">
        <v>30</v>
      </c>
      <c r="F21" s="29" t="s">
        <v>37</v>
      </c>
      <c r="G21" s="8">
        <v>0</v>
      </c>
      <c r="K21" s="29" t="s">
        <v>59</v>
      </c>
    </row>
    <row r="22" spans="1:12" x14ac:dyDescent="0.25">
      <c r="A22" s="51" t="s">
        <v>558</v>
      </c>
      <c r="B22" s="8">
        <v>2021</v>
      </c>
      <c r="C22" s="9">
        <v>44379</v>
      </c>
      <c r="D22" s="8">
        <v>2</v>
      </c>
      <c r="E22" s="8">
        <v>30</v>
      </c>
      <c r="F22" s="29" t="s">
        <v>37</v>
      </c>
      <c r="G22" s="8">
        <v>0</v>
      </c>
      <c r="K22" s="29" t="s">
        <v>60</v>
      </c>
    </row>
    <row r="23" spans="1:12" x14ac:dyDescent="0.25">
      <c r="A23" s="29" t="s">
        <v>26</v>
      </c>
      <c r="B23" s="8">
        <v>2021</v>
      </c>
      <c r="C23" s="9">
        <v>44379</v>
      </c>
      <c r="D23" s="8">
        <v>1</v>
      </c>
      <c r="E23" s="8">
        <v>50</v>
      </c>
      <c r="F23" s="29" t="s">
        <v>37</v>
      </c>
      <c r="G23" s="8">
        <v>6</v>
      </c>
      <c r="I23" s="29" t="s">
        <v>61</v>
      </c>
      <c r="J23" s="29" t="s">
        <v>61</v>
      </c>
      <c r="K23" s="29" t="s">
        <v>62</v>
      </c>
    </row>
    <row r="24" spans="1:12" x14ac:dyDescent="0.25">
      <c r="A24" s="29" t="s">
        <v>26</v>
      </c>
      <c r="B24" s="8">
        <v>2021</v>
      </c>
      <c r="C24" s="9">
        <v>44379</v>
      </c>
      <c r="D24" s="8">
        <v>2</v>
      </c>
      <c r="E24" s="8">
        <v>50</v>
      </c>
      <c r="F24" s="29" t="s">
        <v>37</v>
      </c>
      <c r="G24" s="8">
        <v>5</v>
      </c>
      <c r="I24" s="29" t="s">
        <v>63</v>
      </c>
      <c r="J24" s="29" t="s">
        <v>63</v>
      </c>
      <c r="K24" s="29" t="s">
        <v>62</v>
      </c>
    </row>
    <row r="25" spans="1:12" x14ac:dyDescent="0.25">
      <c r="A25" s="29" t="s">
        <v>26</v>
      </c>
      <c r="B25" s="8">
        <v>2021</v>
      </c>
      <c r="C25" s="9">
        <v>44379</v>
      </c>
      <c r="D25" s="8">
        <v>3</v>
      </c>
      <c r="E25" s="8">
        <v>43</v>
      </c>
      <c r="F25" s="29" t="s">
        <v>37</v>
      </c>
      <c r="G25" s="8">
        <v>6</v>
      </c>
      <c r="I25" s="29" t="s">
        <v>64</v>
      </c>
      <c r="J25" s="29" t="s">
        <v>64</v>
      </c>
      <c r="K25" s="29" t="s">
        <v>65</v>
      </c>
    </row>
    <row r="26" spans="1:12" x14ac:dyDescent="0.25">
      <c r="A26" s="29" t="s">
        <v>26</v>
      </c>
      <c r="B26" s="8">
        <v>2021</v>
      </c>
      <c r="C26" s="9">
        <v>44379</v>
      </c>
      <c r="D26" s="8">
        <v>4</v>
      </c>
      <c r="E26" s="8">
        <v>37</v>
      </c>
      <c r="F26" s="29" t="s">
        <v>37</v>
      </c>
      <c r="G26" s="8">
        <v>6</v>
      </c>
      <c r="I26" s="29" t="s">
        <v>66</v>
      </c>
      <c r="J26" s="29" t="s">
        <v>66</v>
      </c>
      <c r="K26" s="29" t="s">
        <v>67</v>
      </c>
    </row>
    <row r="27" spans="1:12" x14ac:dyDescent="0.25">
      <c r="A27" s="43" t="s">
        <v>26</v>
      </c>
      <c r="B27" s="8">
        <v>2022</v>
      </c>
      <c r="C27" s="9">
        <v>44747</v>
      </c>
      <c r="D27" s="8">
        <v>1</v>
      </c>
      <c r="E27" s="8">
        <v>50</v>
      </c>
      <c r="F27" s="45">
        <v>9</v>
      </c>
      <c r="G27" s="45">
        <v>6</v>
      </c>
      <c r="I27" s="50" t="s">
        <v>549</v>
      </c>
      <c r="J27" s="50" t="s">
        <v>549</v>
      </c>
      <c r="K27" s="43" t="s">
        <v>523</v>
      </c>
      <c r="L27" s="46" t="s">
        <v>522</v>
      </c>
    </row>
    <row r="28" spans="1:12" x14ac:dyDescent="0.25">
      <c r="A28" s="43" t="s">
        <v>26</v>
      </c>
      <c r="B28" s="8">
        <v>2022</v>
      </c>
      <c r="C28" s="9">
        <v>44747</v>
      </c>
      <c r="D28" s="8">
        <v>2</v>
      </c>
      <c r="E28" s="8">
        <v>50</v>
      </c>
      <c r="F28" s="45">
        <v>5</v>
      </c>
      <c r="G28" s="45">
        <v>3</v>
      </c>
      <c r="I28" s="50" t="s">
        <v>550</v>
      </c>
      <c r="J28" s="50" t="s">
        <v>550</v>
      </c>
      <c r="K28" s="43" t="s">
        <v>527</v>
      </c>
      <c r="L28" s="46" t="s">
        <v>524</v>
      </c>
    </row>
    <row r="29" spans="1:12" x14ac:dyDescent="0.25">
      <c r="A29" s="43" t="s">
        <v>26</v>
      </c>
      <c r="B29" s="8">
        <v>2022</v>
      </c>
      <c r="C29" s="9">
        <v>44747</v>
      </c>
      <c r="D29" s="8">
        <v>3</v>
      </c>
      <c r="E29" s="8">
        <v>43</v>
      </c>
      <c r="F29" s="45">
        <v>9</v>
      </c>
      <c r="G29" s="45">
        <v>5</v>
      </c>
      <c r="I29" s="50" t="s">
        <v>551</v>
      </c>
      <c r="J29" s="50" t="s">
        <v>551</v>
      </c>
      <c r="K29" s="43" t="s">
        <v>65</v>
      </c>
      <c r="L29" s="46" t="s">
        <v>525</v>
      </c>
    </row>
    <row r="30" spans="1:12" x14ac:dyDescent="0.25">
      <c r="A30" s="43" t="s">
        <v>26</v>
      </c>
      <c r="B30" s="8">
        <v>2022</v>
      </c>
      <c r="C30" s="9">
        <v>44747</v>
      </c>
      <c r="D30" s="8">
        <v>4</v>
      </c>
      <c r="E30" s="8">
        <v>37</v>
      </c>
      <c r="F30" s="45">
        <v>5</v>
      </c>
      <c r="G30" s="45">
        <v>5</v>
      </c>
      <c r="I30" s="50" t="s">
        <v>552</v>
      </c>
      <c r="J30" s="50" t="s">
        <v>552</v>
      </c>
      <c r="K30" s="43" t="s">
        <v>67</v>
      </c>
      <c r="L30" s="43" t="s">
        <v>526</v>
      </c>
    </row>
    <row r="31" spans="1:12" x14ac:dyDescent="0.25">
      <c r="A31" s="46" t="s">
        <v>558</v>
      </c>
      <c r="B31" s="8">
        <v>2022</v>
      </c>
      <c r="C31" s="9">
        <v>44746</v>
      </c>
      <c r="D31" s="8">
        <v>1</v>
      </c>
      <c r="E31" s="8">
        <v>30</v>
      </c>
      <c r="F31" s="8">
        <v>0</v>
      </c>
      <c r="G31" s="8">
        <v>0</v>
      </c>
      <c r="K31" s="46" t="s">
        <v>59</v>
      </c>
      <c r="L31" s="46" t="s">
        <v>528</v>
      </c>
    </row>
    <row r="32" spans="1:12" x14ac:dyDescent="0.25">
      <c r="A32" s="46" t="s">
        <v>558</v>
      </c>
      <c r="B32" s="8">
        <v>2022</v>
      </c>
      <c r="C32" s="9">
        <v>44746</v>
      </c>
      <c r="D32" s="8">
        <v>2</v>
      </c>
      <c r="E32" s="8">
        <v>30</v>
      </c>
      <c r="F32" s="8">
        <v>0</v>
      </c>
      <c r="G32" s="8">
        <v>0</v>
      </c>
      <c r="K32" s="46" t="s">
        <v>60</v>
      </c>
      <c r="L32" s="46" t="s">
        <v>528</v>
      </c>
    </row>
    <row r="33" spans="1:12" x14ac:dyDescent="0.25">
      <c r="A33" s="46" t="s">
        <v>10</v>
      </c>
      <c r="B33" s="8">
        <v>2022</v>
      </c>
      <c r="C33" s="9">
        <v>44746</v>
      </c>
      <c r="D33" s="29" t="s">
        <v>36</v>
      </c>
      <c r="E33" s="8">
        <v>8</v>
      </c>
      <c r="F33" s="8">
        <v>0</v>
      </c>
      <c r="G33" s="8">
        <v>0</v>
      </c>
      <c r="K33" s="46" t="s">
        <v>538</v>
      </c>
    </row>
    <row r="34" spans="1:12" x14ac:dyDescent="0.25">
      <c r="A34" s="46" t="s">
        <v>10</v>
      </c>
      <c r="B34" s="8">
        <v>2022</v>
      </c>
      <c r="C34" s="9">
        <v>44746</v>
      </c>
      <c r="D34" s="29" t="s">
        <v>553</v>
      </c>
      <c r="E34" s="8">
        <v>3</v>
      </c>
      <c r="F34" s="8">
        <v>0</v>
      </c>
      <c r="G34" s="8">
        <v>0</v>
      </c>
      <c r="K34" s="46" t="s">
        <v>40</v>
      </c>
    </row>
    <row r="35" spans="1:12" x14ac:dyDescent="0.25">
      <c r="A35" s="46" t="s">
        <v>10</v>
      </c>
      <c r="B35" s="8">
        <v>2022</v>
      </c>
      <c r="C35" s="9">
        <v>44746</v>
      </c>
      <c r="D35" s="29" t="s">
        <v>554</v>
      </c>
      <c r="E35" s="8">
        <v>4</v>
      </c>
      <c r="F35" s="8">
        <v>0</v>
      </c>
      <c r="G35" s="8">
        <v>0</v>
      </c>
    </row>
    <row r="36" spans="1:12" x14ac:dyDescent="0.25">
      <c r="A36" s="46" t="s">
        <v>10</v>
      </c>
      <c r="B36" s="8">
        <v>2022</v>
      </c>
      <c r="C36" s="9">
        <v>44746</v>
      </c>
      <c r="D36" s="29" t="s">
        <v>555</v>
      </c>
      <c r="E36" s="8">
        <v>10</v>
      </c>
      <c r="F36" s="8">
        <v>0</v>
      </c>
      <c r="G36" s="8">
        <v>0</v>
      </c>
    </row>
    <row r="37" spans="1:12" x14ac:dyDescent="0.25">
      <c r="A37" s="46" t="s">
        <v>10</v>
      </c>
      <c r="B37" s="8">
        <v>2022</v>
      </c>
      <c r="C37" s="9">
        <v>44746</v>
      </c>
      <c r="D37" s="29" t="s">
        <v>41</v>
      </c>
      <c r="E37" s="8">
        <v>20</v>
      </c>
      <c r="F37" s="8">
        <v>3</v>
      </c>
      <c r="G37" s="8">
        <v>2</v>
      </c>
      <c r="I37" s="53" t="s">
        <v>535</v>
      </c>
      <c r="J37" s="53" t="s">
        <v>535</v>
      </c>
      <c r="K37" s="46" t="s">
        <v>42</v>
      </c>
    </row>
    <row r="38" spans="1:12" x14ac:dyDescent="0.25">
      <c r="A38" s="46" t="s">
        <v>10</v>
      </c>
      <c r="B38" s="8">
        <v>2022</v>
      </c>
      <c r="C38" s="9">
        <v>44746</v>
      </c>
      <c r="D38" s="29" t="s">
        <v>44</v>
      </c>
      <c r="E38" s="8">
        <v>9.5</v>
      </c>
      <c r="F38" s="8">
        <v>1</v>
      </c>
      <c r="G38" s="8">
        <v>1</v>
      </c>
      <c r="I38" s="8">
        <v>2</v>
      </c>
      <c r="J38" s="8">
        <v>2</v>
      </c>
      <c r="K38" s="46" t="s">
        <v>45</v>
      </c>
    </row>
    <row r="39" spans="1:12" x14ac:dyDescent="0.25">
      <c r="A39" s="46" t="s">
        <v>10</v>
      </c>
      <c r="B39" s="8">
        <v>2022</v>
      </c>
      <c r="C39" s="9">
        <v>44746</v>
      </c>
      <c r="D39" s="29" t="s">
        <v>47</v>
      </c>
      <c r="E39" s="8">
        <v>12</v>
      </c>
      <c r="F39" s="8">
        <v>5</v>
      </c>
      <c r="G39" s="8">
        <v>4</v>
      </c>
      <c r="I39" s="53" t="s">
        <v>536</v>
      </c>
      <c r="J39" s="53" t="s">
        <v>536</v>
      </c>
      <c r="K39" s="46" t="s">
        <v>48</v>
      </c>
    </row>
    <row r="40" spans="1:12" x14ac:dyDescent="0.25">
      <c r="A40" s="46" t="s">
        <v>10</v>
      </c>
      <c r="B40" s="8">
        <v>2022</v>
      </c>
      <c r="C40" s="9">
        <v>44746</v>
      </c>
      <c r="D40" s="29" t="s">
        <v>50</v>
      </c>
      <c r="E40" s="8">
        <v>20</v>
      </c>
      <c r="F40" s="8">
        <v>2</v>
      </c>
      <c r="G40" s="8">
        <v>2</v>
      </c>
      <c r="I40" s="53" t="s">
        <v>537</v>
      </c>
      <c r="J40" s="53" t="s">
        <v>537</v>
      </c>
      <c r="K40" s="46" t="s">
        <v>539</v>
      </c>
    </row>
    <row r="41" spans="1:12" x14ac:dyDescent="0.25">
      <c r="A41" s="46" t="s">
        <v>19</v>
      </c>
      <c r="B41" s="8">
        <v>2022</v>
      </c>
      <c r="C41" s="9">
        <v>44746</v>
      </c>
      <c r="D41" s="8">
        <v>1</v>
      </c>
      <c r="E41" s="8">
        <v>30</v>
      </c>
      <c r="F41" s="8">
        <v>0</v>
      </c>
      <c r="G41" s="8">
        <v>0</v>
      </c>
      <c r="I41" s="8">
        <v>5</v>
      </c>
      <c r="J41" s="8">
        <v>5</v>
      </c>
    </row>
    <row r="42" spans="1:12" x14ac:dyDescent="0.25">
      <c r="A42" s="46" t="s">
        <v>19</v>
      </c>
      <c r="B42" s="8">
        <v>2022</v>
      </c>
      <c r="C42" s="9">
        <v>44746</v>
      </c>
      <c r="D42" s="8">
        <v>2</v>
      </c>
      <c r="E42" s="8">
        <v>30</v>
      </c>
      <c r="F42" s="8">
        <v>1</v>
      </c>
      <c r="G42" s="8">
        <v>1</v>
      </c>
      <c r="K42" s="44"/>
    </row>
    <row r="43" spans="1:12" x14ac:dyDescent="0.25">
      <c r="A43" s="46" t="s">
        <v>19</v>
      </c>
      <c r="B43" s="8">
        <v>2022</v>
      </c>
      <c r="C43" s="9">
        <v>44746</v>
      </c>
      <c r="D43" s="8">
        <v>3</v>
      </c>
      <c r="E43" s="8">
        <v>30</v>
      </c>
      <c r="F43" s="8">
        <v>2</v>
      </c>
      <c r="G43" s="8">
        <v>2</v>
      </c>
      <c r="I43" s="46">
        <v>11</v>
      </c>
      <c r="J43" s="46">
        <v>11</v>
      </c>
      <c r="K43" s="46" t="s">
        <v>547</v>
      </c>
      <c r="L43" s="8">
        <v>11.5</v>
      </c>
    </row>
    <row r="44" spans="1:12" x14ac:dyDescent="0.25">
      <c r="A44" s="46" t="s">
        <v>19</v>
      </c>
      <c r="B44" s="8">
        <v>2023</v>
      </c>
      <c r="C44" s="9">
        <v>45110</v>
      </c>
      <c r="D44" s="8">
        <v>1</v>
      </c>
      <c r="E44" s="8">
        <v>30</v>
      </c>
      <c r="F44" s="8">
        <v>0</v>
      </c>
      <c r="G44" s="8">
        <v>0</v>
      </c>
      <c r="I44" s="8">
        <v>5</v>
      </c>
      <c r="J44" s="8">
        <v>5</v>
      </c>
    </row>
    <row r="45" spans="1:12" x14ac:dyDescent="0.25">
      <c r="A45" s="46" t="s">
        <v>19</v>
      </c>
      <c r="B45" s="8">
        <v>2023</v>
      </c>
      <c r="C45" s="9">
        <v>45110</v>
      </c>
      <c r="D45" s="8">
        <v>2</v>
      </c>
      <c r="E45" s="8">
        <v>30</v>
      </c>
      <c r="F45" s="8">
        <v>1</v>
      </c>
      <c r="G45" s="8">
        <v>1</v>
      </c>
      <c r="K45" s="44"/>
    </row>
    <row r="46" spans="1:12" x14ac:dyDescent="0.25">
      <c r="A46" s="46" t="s">
        <v>19</v>
      </c>
      <c r="B46" s="8">
        <v>2023</v>
      </c>
      <c r="C46" s="9">
        <v>45110</v>
      </c>
      <c r="D46" s="8">
        <v>3</v>
      </c>
      <c r="E46" s="8">
        <v>30</v>
      </c>
      <c r="F46" s="8">
        <v>1</v>
      </c>
      <c r="G46" s="8">
        <v>1</v>
      </c>
      <c r="I46" s="46">
        <v>12</v>
      </c>
      <c r="J46" s="46">
        <v>12</v>
      </c>
      <c r="K46" s="46"/>
    </row>
    <row r="47" spans="1:12" x14ac:dyDescent="0.25">
      <c r="A47" s="46" t="s">
        <v>10</v>
      </c>
      <c r="B47" s="8">
        <v>2023</v>
      </c>
      <c r="C47" s="9">
        <v>45112</v>
      </c>
      <c r="D47" s="29" t="s">
        <v>36</v>
      </c>
      <c r="E47" s="8">
        <v>8</v>
      </c>
      <c r="F47" s="8">
        <v>0</v>
      </c>
      <c r="G47" s="8">
        <v>0</v>
      </c>
      <c r="K47" s="46" t="s">
        <v>538</v>
      </c>
    </row>
    <row r="48" spans="1:12" x14ac:dyDescent="0.25">
      <c r="A48" s="46" t="s">
        <v>10</v>
      </c>
      <c r="B48" s="8">
        <v>2023</v>
      </c>
      <c r="C48" s="9">
        <v>45112</v>
      </c>
      <c r="D48" s="29" t="s">
        <v>553</v>
      </c>
      <c r="E48" s="8">
        <v>3</v>
      </c>
      <c r="F48" s="8">
        <v>0</v>
      </c>
      <c r="G48" s="8">
        <v>0</v>
      </c>
      <c r="K48" s="46" t="s">
        <v>40</v>
      </c>
    </row>
    <row r="49" spans="1:12" x14ac:dyDescent="0.25">
      <c r="A49" s="46" t="s">
        <v>10</v>
      </c>
      <c r="B49" s="8">
        <v>2023</v>
      </c>
      <c r="C49" s="9">
        <v>45112</v>
      </c>
      <c r="D49" s="29" t="s">
        <v>554</v>
      </c>
      <c r="E49" s="8">
        <v>4</v>
      </c>
      <c r="F49" s="8">
        <v>0</v>
      </c>
      <c r="G49" s="8">
        <v>0</v>
      </c>
      <c r="K49" s="58" t="s">
        <v>604</v>
      </c>
    </row>
    <row r="50" spans="1:12" x14ac:dyDescent="0.25">
      <c r="A50" s="46" t="s">
        <v>10</v>
      </c>
      <c r="B50" s="8">
        <v>2023</v>
      </c>
      <c r="C50" s="9">
        <v>45112</v>
      </c>
      <c r="D50" s="29" t="s">
        <v>555</v>
      </c>
      <c r="E50" s="8">
        <v>10</v>
      </c>
      <c r="F50" s="8">
        <v>0</v>
      </c>
      <c r="G50" s="8">
        <v>0</v>
      </c>
      <c r="K50" s="58" t="s">
        <v>605</v>
      </c>
    </row>
    <row r="51" spans="1:12" x14ac:dyDescent="0.25">
      <c r="A51" s="46" t="s">
        <v>10</v>
      </c>
      <c r="B51" s="8">
        <v>2023</v>
      </c>
      <c r="C51" s="9">
        <v>45112</v>
      </c>
      <c r="D51" s="29" t="s">
        <v>41</v>
      </c>
      <c r="E51" s="8">
        <v>20</v>
      </c>
      <c r="F51" s="8">
        <v>5</v>
      </c>
      <c r="G51" s="8">
        <v>3</v>
      </c>
      <c r="I51" s="58" t="s">
        <v>590</v>
      </c>
      <c r="J51" s="58" t="s">
        <v>590</v>
      </c>
      <c r="K51" s="46" t="s">
        <v>42</v>
      </c>
    </row>
    <row r="52" spans="1:12" x14ac:dyDescent="0.25">
      <c r="A52" s="46" t="s">
        <v>10</v>
      </c>
      <c r="B52" s="8">
        <v>2023</v>
      </c>
      <c r="C52" s="9">
        <v>45112</v>
      </c>
      <c r="D52" s="29" t="s">
        <v>44</v>
      </c>
      <c r="E52" s="8">
        <v>9.5</v>
      </c>
      <c r="F52" s="8">
        <v>1</v>
      </c>
      <c r="G52" s="8">
        <v>1</v>
      </c>
      <c r="I52" s="8">
        <v>7.5</v>
      </c>
      <c r="J52" s="8">
        <v>7.5</v>
      </c>
      <c r="K52" s="46" t="s">
        <v>45</v>
      </c>
    </row>
    <row r="53" spans="1:12" x14ac:dyDescent="0.25">
      <c r="A53" s="46" t="s">
        <v>10</v>
      </c>
      <c r="B53" s="8">
        <v>2023</v>
      </c>
      <c r="C53" s="9">
        <v>45112</v>
      </c>
      <c r="D53" s="29" t="s">
        <v>47</v>
      </c>
      <c r="E53" s="8">
        <v>12</v>
      </c>
      <c r="F53" s="8">
        <v>8</v>
      </c>
      <c r="G53" s="8">
        <v>6</v>
      </c>
      <c r="I53" s="62" t="s">
        <v>666</v>
      </c>
      <c r="J53" s="62" t="s">
        <v>666</v>
      </c>
      <c r="K53" s="46" t="s">
        <v>48</v>
      </c>
    </row>
    <row r="54" spans="1:12" x14ac:dyDescent="0.25">
      <c r="A54" s="46" t="s">
        <v>10</v>
      </c>
      <c r="B54" s="8">
        <v>2023</v>
      </c>
      <c r="C54" s="9">
        <v>45112</v>
      </c>
      <c r="D54" s="29" t="s">
        <v>50</v>
      </c>
      <c r="E54" s="8">
        <v>20</v>
      </c>
      <c r="F54" s="8">
        <v>2</v>
      </c>
      <c r="G54" s="8">
        <v>2</v>
      </c>
      <c r="I54" s="62" t="s">
        <v>58</v>
      </c>
      <c r="J54" s="62" t="s">
        <v>58</v>
      </c>
      <c r="K54" s="46" t="s">
        <v>539</v>
      </c>
    </row>
    <row r="55" spans="1:12" x14ac:dyDescent="0.25">
      <c r="A55" s="43" t="s">
        <v>26</v>
      </c>
      <c r="B55" s="8">
        <v>2023</v>
      </c>
      <c r="C55" s="9">
        <v>45112</v>
      </c>
      <c r="D55" s="8">
        <v>1</v>
      </c>
      <c r="E55" s="8">
        <v>50</v>
      </c>
      <c r="F55" s="45">
        <v>12</v>
      </c>
      <c r="G55" s="45">
        <v>9</v>
      </c>
      <c r="I55" s="63" t="s">
        <v>669</v>
      </c>
      <c r="J55" s="62" t="s">
        <v>667</v>
      </c>
      <c r="K55" s="43" t="s">
        <v>523</v>
      </c>
      <c r="L55" s="46"/>
    </row>
    <row r="56" spans="1:12" x14ac:dyDescent="0.25">
      <c r="A56" s="43" t="s">
        <v>26</v>
      </c>
      <c r="B56" s="8">
        <v>2023</v>
      </c>
      <c r="C56" s="9">
        <v>45112</v>
      </c>
      <c r="D56" s="8">
        <v>2</v>
      </c>
      <c r="E56" s="8">
        <v>50</v>
      </c>
      <c r="F56" s="45">
        <v>7</v>
      </c>
      <c r="G56" s="45">
        <v>4</v>
      </c>
      <c r="I56" s="63" t="s">
        <v>670</v>
      </c>
      <c r="J56" s="58" t="s">
        <v>638</v>
      </c>
      <c r="K56" s="43" t="s">
        <v>527</v>
      </c>
      <c r="L56" s="46"/>
    </row>
    <row r="57" spans="1:12" x14ac:dyDescent="0.25">
      <c r="A57" s="43" t="s">
        <v>26</v>
      </c>
      <c r="B57" s="8">
        <v>2023</v>
      </c>
      <c r="C57" s="9">
        <v>45112</v>
      </c>
      <c r="D57" s="8">
        <v>3</v>
      </c>
      <c r="E57" s="8">
        <v>43</v>
      </c>
      <c r="F57" s="45">
        <v>13</v>
      </c>
      <c r="G57" s="45">
        <v>9</v>
      </c>
      <c r="I57" s="63" t="s">
        <v>671</v>
      </c>
      <c r="J57" s="58" t="s">
        <v>642</v>
      </c>
      <c r="K57" s="43" t="s">
        <v>65</v>
      </c>
      <c r="L57" s="46"/>
    </row>
    <row r="58" spans="1:12" x14ac:dyDescent="0.25">
      <c r="A58" s="43" t="s">
        <v>26</v>
      </c>
      <c r="B58" s="8">
        <v>2023</v>
      </c>
      <c r="C58" s="9">
        <v>45112</v>
      </c>
      <c r="D58" s="8">
        <v>4</v>
      </c>
      <c r="E58" s="8">
        <v>37</v>
      </c>
      <c r="F58" s="45">
        <v>11</v>
      </c>
      <c r="G58" s="45">
        <v>9</v>
      </c>
      <c r="I58" s="63" t="s">
        <v>672</v>
      </c>
      <c r="J58" s="58" t="s">
        <v>643</v>
      </c>
      <c r="K58" s="43" t="s">
        <v>67</v>
      </c>
      <c r="L58" s="43"/>
    </row>
    <row r="59" spans="1:12" x14ac:dyDescent="0.25">
      <c r="A59" s="46" t="s">
        <v>558</v>
      </c>
      <c r="B59" s="8">
        <v>2023</v>
      </c>
      <c r="C59" s="9">
        <v>45111</v>
      </c>
      <c r="D59" s="8">
        <v>1</v>
      </c>
      <c r="E59" s="8">
        <v>30</v>
      </c>
      <c r="F59" s="8">
        <v>0</v>
      </c>
      <c r="G59" s="8">
        <v>0</v>
      </c>
      <c r="K59" s="46" t="s">
        <v>59</v>
      </c>
      <c r="L59" s="46" t="s">
        <v>528</v>
      </c>
    </row>
    <row r="60" spans="1:12" x14ac:dyDescent="0.25">
      <c r="A60" s="46" t="s">
        <v>558</v>
      </c>
      <c r="B60" s="8">
        <v>2023</v>
      </c>
      <c r="C60" s="9">
        <v>45111</v>
      </c>
      <c r="D60" s="8">
        <v>2</v>
      </c>
      <c r="E60" s="8">
        <v>30</v>
      </c>
      <c r="F60" s="8">
        <v>1</v>
      </c>
      <c r="G60" s="8">
        <v>1</v>
      </c>
      <c r="I60" s="8">
        <v>16</v>
      </c>
      <c r="J60" s="8">
        <v>16.5</v>
      </c>
      <c r="K60" s="46" t="s">
        <v>60</v>
      </c>
      <c r="L60" s="46" t="s">
        <v>528</v>
      </c>
    </row>
    <row r="61" spans="1:12" ht="15.75" x14ac:dyDescent="0.25">
      <c r="A61" s="46" t="s">
        <v>19</v>
      </c>
      <c r="B61" s="8">
        <v>2024</v>
      </c>
      <c r="C61" s="42">
        <v>45495</v>
      </c>
      <c r="D61" s="8">
        <v>1</v>
      </c>
      <c r="E61" s="8">
        <v>30</v>
      </c>
      <c r="F61" s="65" t="s">
        <v>37</v>
      </c>
      <c r="G61" s="8">
        <v>1</v>
      </c>
      <c r="I61" t="s">
        <v>676</v>
      </c>
    </row>
    <row r="62" spans="1:12" x14ac:dyDescent="0.25">
      <c r="A62" s="46" t="s">
        <v>19</v>
      </c>
      <c r="B62" s="8">
        <v>2024</v>
      </c>
      <c r="C62" s="42">
        <v>45495</v>
      </c>
      <c r="D62" s="8">
        <v>2</v>
      </c>
      <c r="E62" s="8">
        <v>30</v>
      </c>
      <c r="F62" s="65" t="s">
        <v>37</v>
      </c>
      <c r="G62" s="8">
        <v>0</v>
      </c>
    </row>
    <row r="63" spans="1:12" ht="15.75" x14ac:dyDescent="0.25">
      <c r="A63" s="46" t="s">
        <v>19</v>
      </c>
      <c r="B63" s="8">
        <v>2024</v>
      </c>
      <c r="C63" s="42">
        <v>45495</v>
      </c>
      <c r="D63" s="8">
        <v>3</v>
      </c>
      <c r="E63" s="8">
        <v>30</v>
      </c>
      <c r="F63" s="65" t="s">
        <v>37</v>
      </c>
      <c r="G63" s="8">
        <v>1</v>
      </c>
      <c r="I63" t="s">
        <v>675</v>
      </c>
    </row>
    <row r="64" spans="1:12" x14ac:dyDescent="0.25">
      <c r="A64" s="46" t="s">
        <v>10</v>
      </c>
      <c r="B64" s="8">
        <v>2024</v>
      </c>
      <c r="C64" s="42">
        <v>45496</v>
      </c>
      <c r="D64" s="29" t="s">
        <v>36</v>
      </c>
      <c r="E64" s="8">
        <v>8</v>
      </c>
      <c r="F64" s="8">
        <v>0</v>
      </c>
      <c r="G64" s="8">
        <v>0</v>
      </c>
      <c r="H64" s="29" t="s">
        <v>38</v>
      </c>
      <c r="K64" s="46" t="s">
        <v>538</v>
      </c>
    </row>
    <row r="65" spans="1:11" x14ac:dyDescent="0.25">
      <c r="A65" s="46" t="s">
        <v>10</v>
      </c>
      <c r="B65" s="8">
        <v>2024</v>
      </c>
      <c r="C65" s="42">
        <v>45496</v>
      </c>
      <c r="D65" s="29" t="s">
        <v>553</v>
      </c>
      <c r="E65" s="8">
        <v>3</v>
      </c>
      <c r="F65" s="8">
        <v>0</v>
      </c>
      <c r="G65" s="8">
        <v>0</v>
      </c>
      <c r="K65" s="46" t="s">
        <v>40</v>
      </c>
    </row>
    <row r="66" spans="1:11" x14ac:dyDescent="0.25">
      <c r="A66" s="46" t="s">
        <v>10</v>
      </c>
      <c r="B66" s="8">
        <v>2024</v>
      </c>
      <c r="C66" s="42">
        <v>45496</v>
      </c>
      <c r="D66" s="29" t="s">
        <v>554</v>
      </c>
      <c r="E66" s="8">
        <v>4</v>
      </c>
      <c r="F66" s="8">
        <v>0</v>
      </c>
      <c r="G66" s="8">
        <v>0</v>
      </c>
      <c r="K66" s="58" t="s">
        <v>604</v>
      </c>
    </row>
    <row r="67" spans="1:11" x14ac:dyDescent="0.25">
      <c r="A67" s="46" t="s">
        <v>10</v>
      </c>
      <c r="B67" s="8">
        <v>2024</v>
      </c>
      <c r="C67" s="42">
        <v>45496</v>
      </c>
      <c r="D67" s="29" t="s">
        <v>555</v>
      </c>
      <c r="E67" s="8">
        <v>10</v>
      </c>
      <c r="F67" s="8">
        <v>0</v>
      </c>
      <c r="G67" s="8">
        <v>0</v>
      </c>
      <c r="K67" s="58" t="s">
        <v>605</v>
      </c>
    </row>
    <row r="68" spans="1:11" ht="15.75" x14ac:dyDescent="0.25">
      <c r="A68" s="46" t="s">
        <v>10</v>
      </c>
      <c r="B68" s="8">
        <v>2024</v>
      </c>
      <c r="C68" s="42">
        <v>45496</v>
      </c>
      <c r="D68" s="29" t="s">
        <v>41</v>
      </c>
      <c r="E68" s="8">
        <v>20</v>
      </c>
      <c r="F68" s="8">
        <v>5</v>
      </c>
      <c r="G68" s="8">
        <v>3</v>
      </c>
      <c r="H68" s="50" t="s">
        <v>42</v>
      </c>
      <c r="I68" t="s">
        <v>678</v>
      </c>
      <c r="J68" t="s">
        <v>678</v>
      </c>
      <c r="K68" s="46" t="s">
        <v>42</v>
      </c>
    </row>
    <row r="69" spans="1:11" ht="15.75" x14ac:dyDescent="0.25">
      <c r="A69" s="46" t="s">
        <v>10</v>
      </c>
      <c r="B69" s="8">
        <v>2024</v>
      </c>
      <c r="C69" s="42">
        <v>45496</v>
      </c>
      <c r="D69" s="29" t="s">
        <v>44</v>
      </c>
      <c r="E69" s="8">
        <v>9.5</v>
      </c>
      <c r="F69" s="8">
        <v>3</v>
      </c>
      <c r="G69" s="8">
        <v>2</v>
      </c>
      <c r="H69" s="29" t="s">
        <v>45</v>
      </c>
      <c r="I69" t="s">
        <v>677</v>
      </c>
      <c r="J69" t="s">
        <v>677</v>
      </c>
      <c r="K69" s="46" t="s">
        <v>45</v>
      </c>
    </row>
    <row r="70" spans="1:11" ht="15.75" x14ac:dyDescent="0.25">
      <c r="A70" s="46" t="s">
        <v>10</v>
      </c>
      <c r="B70" s="8">
        <v>2024</v>
      </c>
      <c r="C70" s="42">
        <v>45496</v>
      </c>
      <c r="D70" s="29" t="s">
        <v>47</v>
      </c>
      <c r="E70" s="8">
        <v>12</v>
      </c>
      <c r="F70" s="8">
        <v>11</v>
      </c>
      <c r="G70" s="8">
        <v>6</v>
      </c>
      <c r="H70" s="29" t="s">
        <v>48</v>
      </c>
      <c r="I70" t="s">
        <v>680</v>
      </c>
      <c r="J70" t="s">
        <v>680</v>
      </c>
      <c r="K70" s="46" t="s">
        <v>48</v>
      </c>
    </row>
    <row r="71" spans="1:11" ht="15.75" x14ac:dyDescent="0.25">
      <c r="A71" s="46" t="s">
        <v>10</v>
      </c>
      <c r="B71" s="8">
        <v>2024</v>
      </c>
      <c r="C71" s="42">
        <v>45496</v>
      </c>
      <c r="D71" s="29" t="s">
        <v>50</v>
      </c>
      <c r="E71" s="8">
        <v>20</v>
      </c>
      <c r="F71" s="8">
        <v>3</v>
      </c>
      <c r="G71" s="8">
        <v>3</v>
      </c>
      <c r="H71" s="29" t="s">
        <v>51</v>
      </c>
      <c r="I71" t="s">
        <v>679</v>
      </c>
      <c r="J71" t="s">
        <v>679</v>
      </c>
      <c r="K71" s="46" t="s">
        <v>539</v>
      </c>
    </row>
    <row r="72" spans="1:11" ht="15.75" x14ac:dyDescent="0.25">
      <c r="A72" s="43" t="s">
        <v>26</v>
      </c>
      <c r="B72" s="8">
        <v>2024</v>
      </c>
      <c r="C72" s="42">
        <v>45497</v>
      </c>
      <c r="D72" s="8">
        <v>1</v>
      </c>
      <c r="E72" s="8">
        <v>50</v>
      </c>
      <c r="F72" s="65" t="s">
        <v>37</v>
      </c>
      <c r="G72" s="8">
        <v>7</v>
      </c>
      <c r="I72" t="s">
        <v>681</v>
      </c>
    </row>
    <row r="73" spans="1:11" ht="15.75" x14ac:dyDescent="0.25">
      <c r="A73" s="43" t="s">
        <v>26</v>
      </c>
      <c r="B73" s="8">
        <v>2024</v>
      </c>
      <c r="C73" s="42">
        <v>45497</v>
      </c>
      <c r="D73" s="8">
        <v>2</v>
      </c>
      <c r="E73" s="8">
        <v>50</v>
      </c>
      <c r="F73" s="65" t="s">
        <v>37</v>
      </c>
      <c r="G73" s="8">
        <v>5</v>
      </c>
      <c r="I73" t="s">
        <v>682</v>
      </c>
    </row>
    <row r="74" spans="1:11" ht="15.75" x14ac:dyDescent="0.25">
      <c r="A74" s="43" t="s">
        <v>26</v>
      </c>
      <c r="B74" s="8">
        <v>2024</v>
      </c>
      <c r="C74" s="42">
        <v>45497</v>
      </c>
      <c r="D74" s="8">
        <v>3</v>
      </c>
      <c r="E74" s="8">
        <v>43</v>
      </c>
      <c r="F74" s="65" t="s">
        <v>37</v>
      </c>
      <c r="G74" s="8">
        <v>7</v>
      </c>
      <c r="I74" t="s">
        <v>684</v>
      </c>
    </row>
    <row r="75" spans="1:11" ht="15.75" x14ac:dyDescent="0.25">
      <c r="A75" s="43" t="s">
        <v>26</v>
      </c>
      <c r="B75" s="8">
        <v>2024</v>
      </c>
      <c r="C75" s="42">
        <v>45497</v>
      </c>
      <c r="D75" s="8">
        <v>4</v>
      </c>
      <c r="E75" s="8">
        <v>37</v>
      </c>
      <c r="F75" s="65" t="s">
        <v>37</v>
      </c>
      <c r="G75" s="8">
        <v>8</v>
      </c>
      <c r="I75" t="s">
        <v>683</v>
      </c>
    </row>
    <row r="76" spans="1:11" x14ac:dyDescent="0.25">
      <c r="A76" s="46" t="s">
        <v>558</v>
      </c>
      <c r="B76" s="8">
        <v>2024</v>
      </c>
      <c r="C76" s="42">
        <v>45498</v>
      </c>
      <c r="D76" s="8">
        <v>1</v>
      </c>
      <c r="E76" s="8">
        <v>30</v>
      </c>
      <c r="F76" s="66" t="s">
        <v>37</v>
      </c>
      <c r="G76" s="8">
        <v>0</v>
      </c>
    </row>
    <row r="77" spans="1:11" x14ac:dyDescent="0.25">
      <c r="A77" s="46" t="s">
        <v>558</v>
      </c>
      <c r="B77" s="8">
        <v>2024</v>
      </c>
      <c r="C77" s="42">
        <v>45498</v>
      </c>
      <c r="D77" s="8">
        <v>2</v>
      </c>
      <c r="E77" s="8">
        <v>30</v>
      </c>
      <c r="F77" s="66" t="s">
        <v>37</v>
      </c>
      <c r="G77" s="8">
        <v>1</v>
      </c>
      <c r="I77" s="8">
        <v>16</v>
      </c>
      <c r="J77" s="8">
        <v>16.5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EA0B-E2AA-4CF8-BE04-97E7015BBB9C}">
  <sheetPr filterMode="1"/>
  <dimension ref="A1:AL559"/>
  <sheetViews>
    <sheetView tabSelected="1" workbookViewId="0">
      <pane xSplit="3" ySplit="1" topLeftCell="D391" activePane="bottomRight" state="frozen"/>
      <selection pane="topRight" activeCell="E1" sqref="E1"/>
      <selection pane="bottomLeft" activeCell="A2" sqref="A2"/>
      <selection pane="bottomRight" activeCell="E401" sqref="E401"/>
    </sheetView>
  </sheetViews>
  <sheetFormatPr defaultColWidth="8.75" defaultRowHeight="15.75" x14ac:dyDescent="0.25"/>
  <cols>
    <col min="1" max="2" width="8.75" style="19" customWidth="1"/>
    <col min="3" max="4" width="8.75" style="15" customWidth="1"/>
    <col min="5" max="7" width="8.75" style="14" customWidth="1"/>
    <col min="8" max="10" width="8.75" style="19" customWidth="1"/>
    <col min="11" max="11" width="8.75" style="14" customWidth="1"/>
    <col min="12" max="12" width="9" style="19" customWidth="1"/>
    <col min="13" max="18" width="8.75" style="19" customWidth="1"/>
    <col min="19" max="19" width="19.875" style="19" customWidth="1"/>
    <col min="20" max="29" width="8.75" style="14" customWidth="1"/>
    <col min="30" max="36" width="8.75" style="14"/>
    <col min="37" max="37" width="9.875" style="14" bestFit="1" customWidth="1"/>
    <col min="38" max="38" width="8.75" style="14"/>
    <col min="278" max="278" width="9" customWidth="1"/>
    <col min="287" max="287" width="9.875" bestFit="1" customWidth="1"/>
    <col min="534" max="534" width="9" customWidth="1"/>
    <col min="543" max="543" width="9.875" bestFit="1" customWidth="1"/>
    <col min="790" max="790" width="9" customWidth="1"/>
    <col min="799" max="799" width="9.875" bestFit="1" customWidth="1"/>
    <col min="1046" max="1046" width="9" customWidth="1"/>
    <col min="1055" max="1055" width="9.875" bestFit="1" customWidth="1"/>
    <col min="1302" max="1302" width="9" customWidth="1"/>
    <col min="1311" max="1311" width="9.875" bestFit="1" customWidth="1"/>
    <col min="1558" max="1558" width="9" customWidth="1"/>
    <col min="1567" max="1567" width="9.875" bestFit="1" customWidth="1"/>
    <col min="1814" max="1814" width="9" customWidth="1"/>
    <col min="1823" max="1823" width="9.875" bestFit="1" customWidth="1"/>
    <col min="2070" max="2070" width="9" customWidth="1"/>
    <col min="2079" max="2079" width="9.875" bestFit="1" customWidth="1"/>
    <col min="2326" max="2326" width="9" customWidth="1"/>
    <col min="2335" max="2335" width="9.875" bestFit="1" customWidth="1"/>
    <col min="2582" max="2582" width="9" customWidth="1"/>
    <col min="2591" max="2591" width="9.875" bestFit="1" customWidth="1"/>
    <col min="2838" max="2838" width="9" customWidth="1"/>
    <col min="2847" max="2847" width="9.875" bestFit="1" customWidth="1"/>
    <col min="3094" max="3094" width="9" customWidth="1"/>
    <col min="3103" max="3103" width="9.875" bestFit="1" customWidth="1"/>
    <col min="3350" max="3350" width="9" customWidth="1"/>
    <col min="3359" max="3359" width="9.875" bestFit="1" customWidth="1"/>
    <col min="3606" max="3606" width="9" customWidth="1"/>
    <col min="3615" max="3615" width="9.875" bestFit="1" customWidth="1"/>
    <col min="3862" max="3862" width="9" customWidth="1"/>
    <col min="3871" max="3871" width="9.875" bestFit="1" customWidth="1"/>
    <col min="4118" max="4118" width="9" customWidth="1"/>
    <col min="4127" max="4127" width="9.875" bestFit="1" customWidth="1"/>
    <col min="4374" max="4374" width="9" customWidth="1"/>
    <col min="4383" max="4383" width="9.875" bestFit="1" customWidth="1"/>
    <col min="4630" max="4630" width="9" customWidth="1"/>
    <col min="4639" max="4639" width="9.875" bestFit="1" customWidth="1"/>
    <col min="4886" max="4886" width="9" customWidth="1"/>
    <col min="4895" max="4895" width="9.875" bestFit="1" customWidth="1"/>
    <col min="5142" max="5142" width="9" customWidth="1"/>
    <col min="5151" max="5151" width="9.875" bestFit="1" customWidth="1"/>
    <col min="5398" max="5398" width="9" customWidth="1"/>
    <col min="5407" max="5407" width="9.875" bestFit="1" customWidth="1"/>
    <col min="5654" max="5654" width="9" customWidth="1"/>
    <col min="5663" max="5663" width="9.875" bestFit="1" customWidth="1"/>
    <col min="5910" max="5910" width="9" customWidth="1"/>
    <col min="5919" max="5919" width="9.875" bestFit="1" customWidth="1"/>
    <col min="6166" max="6166" width="9" customWidth="1"/>
    <col min="6175" max="6175" width="9.875" bestFit="1" customWidth="1"/>
    <col min="6422" max="6422" width="9" customWidth="1"/>
    <col min="6431" max="6431" width="9.875" bestFit="1" customWidth="1"/>
    <col min="6678" max="6678" width="9" customWidth="1"/>
    <col min="6687" max="6687" width="9.875" bestFit="1" customWidth="1"/>
    <col min="6934" max="6934" width="9" customWidth="1"/>
    <col min="6943" max="6943" width="9.875" bestFit="1" customWidth="1"/>
    <col min="7190" max="7190" width="9" customWidth="1"/>
    <col min="7199" max="7199" width="9.875" bestFit="1" customWidth="1"/>
    <col min="7446" max="7446" width="9" customWidth="1"/>
    <col min="7455" max="7455" width="9.875" bestFit="1" customWidth="1"/>
    <col min="7702" max="7702" width="9" customWidth="1"/>
    <col min="7711" max="7711" width="9.875" bestFit="1" customWidth="1"/>
    <col min="7958" max="7958" width="9" customWidth="1"/>
    <col min="7967" max="7967" width="9.875" bestFit="1" customWidth="1"/>
    <col min="8214" max="8214" width="9" customWidth="1"/>
    <col min="8223" max="8223" width="9.875" bestFit="1" customWidth="1"/>
    <col min="8470" max="8470" width="9" customWidth="1"/>
    <col min="8479" max="8479" width="9.875" bestFit="1" customWidth="1"/>
    <col min="8726" max="8726" width="9" customWidth="1"/>
    <col min="8735" max="8735" width="9.875" bestFit="1" customWidth="1"/>
    <col min="8982" max="8982" width="9" customWidth="1"/>
    <col min="8991" max="8991" width="9.875" bestFit="1" customWidth="1"/>
    <col min="9238" max="9238" width="9" customWidth="1"/>
    <col min="9247" max="9247" width="9.875" bestFit="1" customWidth="1"/>
    <col min="9494" max="9494" width="9" customWidth="1"/>
    <col min="9503" max="9503" width="9.875" bestFit="1" customWidth="1"/>
    <col min="9750" max="9750" width="9" customWidth="1"/>
    <col min="9759" max="9759" width="9.875" bestFit="1" customWidth="1"/>
    <col min="10006" max="10006" width="9" customWidth="1"/>
    <col min="10015" max="10015" width="9.875" bestFit="1" customWidth="1"/>
    <col min="10262" max="10262" width="9" customWidth="1"/>
    <col min="10271" max="10271" width="9.875" bestFit="1" customWidth="1"/>
    <col min="10518" max="10518" width="9" customWidth="1"/>
    <col min="10527" max="10527" width="9.875" bestFit="1" customWidth="1"/>
    <col min="10774" max="10774" width="9" customWidth="1"/>
    <col min="10783" max="10783" width="9.875" bestFit="1" customWidth="1"/>
    <col min="11030" max="11030" width="9" customWidth="1"/>
    <col min="11039" max="11039" width="9.875" bestFit="1" customWidth="1"/>
    <col min="11286" max="11286" width="9" customWidth="1"/>
    <col min="11295" max="11295" width="9.875" bestFit="1" customWidth="1"/>
    <col min="11542" max="11542" width="9" customWidth="1"/>
    <col min="11551" max="11551" width="9.875" bestFit="1" customWidth="1"/>
    <col min="11798" max="11798" width="9" customWidth="1"/>
    <col min="11807" max="11807" width="9.875" bestFit="1" customWidth="1"/>
    <col min="12054" max="12054" width="9" customWidth="1"/>
    <col min="12063" max="12063" width="9.875" bestFit="1" customWidth="1"/>
    <col min="12310" max="12310" width="9" customWidth="1"/>
    <col min="12319" max="12319" width="9.875" bestFit="1" customWidth="1"/>
    <col min="12566" max="12566" width="9" customWidth="1"/>
    <col min="12575" max="12575" width="9.875" bestFit="1" customWidth="1"/>
    <col min="12822" max="12822" width="9" customWidth="1"/>
    <col min="12831" max="12831" width="9.875" bestFit="1" customWidth="1"/>
    <col min="13078" max="13078" width="9" customWidth="1"/>
    <col min="13087" max="13087" width="9.875" bestFit="1" customWidth="1"/>
    <col min="13334" max="13334" width="9" customWidth="1"/>
    <col min="13343" max="13343" width="9.875" bestFit="1" customWidth="1"/>
    <col min="13590" max="13590" width="9" customWidth="1"/>
    <col min="13599" max="13599" width="9.875" bestFit="1" customWidth="1"/>
    <col min="13846" max="13846" width="9" customWidth="1"/>
    <col min="13855" max="13855" width="9.875" bestFit="1" customWidth="1"/>
    <col min="14102" max="14102" width="9" customWidth="1"/>
    <col min="14111" max="14111" width="9.875" bestFit="1" customWidth="1"/>
    <col min="14358" max="14358" width="9" customWidth="1"/>
    <col min="14367" max="14367" width="9.875" bestFit="1" customWidth="1"/>
    <col min="14614" max="14614" width="9" customWidth="1"/>
    <col min="14623" max="14623" width="9.875" bestFit="1" customWidth="1"/>
    <col min="14870" max="14870" width="9" customWidth="1"/>
    <col min="14879" max="14879" width="9.875" bestFit="1" customWidth="1"/>
    <col min="15126" max="15126" width="9" customWidth="1"/>
    <col min="15135" max="15135" width="9.875" bestFit="1" customWidth="1"/>
    <col min="15382" max="15382" width="9" customWidth="1"/>
    <col min="15391" max="15391" width="9.875" bestFit="1" customWidth="1"/>
    <col min="15638" max="15638" width="9" customWidth="1"/>
    <col min="15647" max="15647" width="9.875" bestFit="1" customWidth="1"/>
    <col min="15894" max="15894" width="9" customWidth="1"/>
    <col min="15903" max="15903" width="9.875" bestFit="1" customWidth="1"/>
    <col min="16150" max="16150" width="9" customWidth="1"/>
    <col min="16159" max="16159" width="9.875" bestFit="1" customWidth="1"/>
  </cols>
  <sheetData>
    <row r="1" spans="1:38" ht="30" x14ac:dyDescent="0.25">
      <c r="A1" s="18" t="s">
        <v>0</v>
      </c>
      <c r="B1" s="18" t="s">
        <v>70</v>
      </c>
      <c r="C1" s="28" t="s">
        <v>556</v>
      </c>
      <c r="D1" s="28" t="s">
        <v>560</v>
      </c>
      <c r="E1" s="1" t="s">
        <v>71</v>
      </c>
      <c r="F1" s="1" t="s">
        <v>72</v>
      </c>
      <c r="G1" s="1" t="s">
        <v>74</v>
      </c>
      <c r="H1" s="18" t="s">
        <v>75</v>
      </c>
      <c r="I1" s="18" t="s">
        <v>76</v>
      </c>
      <c r="J1" s="18" t="s">
        <v>77</v>
      </c>
      <c r="K1" s="1" t="s">
        <v>78</v>
      </c>
      <c r="L1" s="18" t="s">
        <v>79</v>
      </c>
      <c r="M1" s="26" t="s">
        <v>81</v>
      </c>
      <c r="N1" s="26" t="s">
        <v>569</v>
      </c>
      <c r="O1" s="26" t="s">
        <v>82</v>
      </c>
      <c r="P1" s="26" t="s">
        <v>83</v>
      </c>
      <c r="Q1" s="26" t="s">
        <v>561</v>
      </c>
      <c r="R1" s="26" t="s">
        <v>86</v>
      </c>
      <c r="S1" s="26" t="s">
        <v>87</v>
      </c>
      <c r="T1" s="6" t="s">
        <v>565</v>
      </c>
      <c r="U1" s="6" t="s">
        <v>566</v>
      </c>
      <c r="V1" s="6" t="s">
        <v>88</v>
      </c>
      <c r="W1" s="30" t="s">
        <v>89</v>
      </c>
      <c r="X1" s="30" t="s">
        <v>90</v>
      </c>
      <c r="Y1" s="30" t="s">
        <v>91</v>
      </c>
      <c r="Z1" s="30" t="s">
        <v>92</v>
      </c>
      <c r="AA1" s="55" t="s">
        <v>567</v>
      </c>
      <c r="AB1" s="55" t="s">
        <v>568</v>
      </c>
      <c r="AC1" s="1" t="s">
        <v>68</v>
      </c>
      <c r="AD1" s="1" t="s">
        <v>69</v>
      </c>
      <c r="AE1" s="1" t="s">
        <v>73</v>
      </c>
      <c r="AF1" s="1" t="s">
        <v>80</v>
      </c>
      <c r="AG1" s="6" t="s">
        <v>84</v>
      </c>
      <c r="AH1" s="6" t="s">
        <v>562</v>
      </c>
      <c r="AI1" s="6" t="s">
        <v>563</v>
      </c>
      <c r="AJ1" s="6" t="s">
        <v>85</v>
      </c>
      <c r="AK1" s="6" t="s">
        <v>1</v>
      </c>
      <c r="AL1" s="6" t="s">
        <v>564</v>
      </c>
    </row>
    <row r="2" spans="1:38" hidden="1" x14ac:dyDescent="0.25">
      <c r="A2" s="27" t="s">
        <v>10</v>
      </c>
      <c r="B2" s="27" t="s">
        <v>94</v>
      </c>
      <c r="C2" s="34">
        <v>2020</v>
      </c>
      <c r="D2" s="34">
        <v>1</v>
      </c>
      <c r="E2" s="35" t="s">
        <v>41</v>
      </c>
      <c r="F2" s="35">
        <v>11.5</v>
      </c>
      <c r="G2" s="30">
        <f t="shared" ref="G2:G33" si="0">SUM(H2:I2)</f>
        <v>3</v>
      </c>
      <c r="H2" s="27">
        <v>1</v>
      </c>
      <c r="I2" s="27">
        <v>2</v>
      </c>
      <c r="J2" s="24">
        <f>H2/G2</f>
        <v>0.33333333333333331</v>
      </c>
      <c r="K2" s="30">
        <v>0.25</v>
      </c>
      <c r="L2" s="27">
        <f t="shared" ref="L2:L33" si="1">G2/(K2/0.25)</f>
        <v>3</v>
      </c>
      <c r="M2" s="27">
        <v>29</v>
      </c>
      <c r="N2" s="27"/>
      <c r="O2" s="27">
        <v>90</v>
      </c>
      <c r="P2" s="27">
        <v>30</v>
      </c>
      <c r="Q2" s="27"/>
      <c r="R2" s="27">
        <v>6</v>
      </c>
      <c r="S2" s="27" t="s">
        <v>95</v>
      </c>
      <c r="T2" s="30"/>
      <c r="U2" s="30"/>
      <c r="V2" s="30"/>
      <c r="W2" s="30"/>
      <c r="X2" s="30"/>
      <c r="Y2" s="30"/>
      <c r="Z2" s="30"/>
      <c r="AA2" s="30"/>
      <c r="AB2" s="30"/>
      <c r="AC2" s="30"/>
      <c r="AD2" s="30" t="s">
        <v>93</v>
      </c>
      <c r="AE2" s="30" t="s">
        <v>37</v>
      </c>
      <c r="AF2" s="30" t="s">
        <v>37</v>
      </c>
      <c r="AG2" s="30"/>
      <c r="AH2" s="30">
        <v>1</v>
      </c>
      <c r="AI2" s="30">
        <v>1</v>
      </c>
      <c r="AJ2" s="30">
        <v>1</v>
      </c>
      <c r="AK2" s="30"/>
      <c r="AL2" s="30" t="s">
        <v>96</v>
      </c>
    </row>
    <row r="3" spans="1:38" hidden="1" x14ac:dyDescent="0.25">
      <c r="A3" s="27" t="s">
        <v>10</v>
      </c>
      <c r="B3" s="27" t="s">
        <v>94</v>
      </c>
      <c r="C3" s="34">
        <v>2021</v>
      </c>
      <c r="D3" s="34">
        <v>1</v>
      </c>
      <c r="E3" s="35" t="s">
        <v>41</v>
      </c>
      <c r="F3" s="35">
        <v>11.5</v>
      </c>
      <c r="G3" s="30">
        <f t="shared" si="0"/>
        <v>3</v>
      </c>
      <c r="H3" s="27">
        <v>0</v>
      </c>
      <c r="I3" s="27">
        <v>3</v>
      </c>
      <c r="J3" s="24">
        <f>H3/G3</f>
        <v>0</v>
      </c>
      <c r="K3" s="30">
        <v>0.25</v>
      </c>
      <c r="L3" s="27">
        <f t="shared" si="1"/>
        <v>3</v>
      </c>
      <c r="M3" s="27">
        <f>AVERAGE(W3:Z3)</f>
        <v>13.25</v>
      </c>
      <c r="N3" s="27"/>
      <c r="O3" s="27">
        <v>90</v>
      </c>
      <c r="P3" s="27">
        <v>30</v>
      </c>
      <c r="Q3" s="27">
        <v>5</v>
      </c>
      <c r="R3" s="27">
        <v>5</v>
      </c>
      <c r="S3" s="27" t="s">
        <v>95</v>
      </c>
      <c r="T3" s="30"/>
      <c r="U3" s="30"/>
      <c r="V3" s="30"/>
      <c r="W3" s="30">
        <v>25</v>
      </c>
      <c r="X3" s="30">
        <v>5</v>
      </c>
      <c r="Y3" s="30">
        <v>8</v>
      </c>
      <c r="Z3" s="30">
        <v>15</v>
      </c>
      <c r="AA3" s="30"/>
      <c r="AB3" s="30"/>
      <c r="AC3" s="30"/>
      <c r="AD3" s="30" t="s">
        <v>93</v>
      </c>
      <c r="AE3" s="30" t="s">
        <v>37</v>
      </c>
      <c r="AF3" s="30" t="s">
        <v>37</v>
      </c>
      <c r="AG3" s="30" t="s">
        <v>37</v>
      </c>
      <c r="AH3" s="30">
        <v>1</v>
      </c>
      <c r="AI3" s="30">
        <v>1</v>
      </c>
      <c r="AJ3" s="30">
        <v>1</v>
      </c>
      <c r="AK3" s="32">
        <v>44378</v>
      </c>
      <c r="AL3" s="30"/>
    </row>
    <row r="4" spans="1:38" hidden="1" x14ac:dyDescent="0.25">
      <c r="A4" s="47" t="s">
        <v>10</v>
      </c>
      <c r="B4" s="47" t="s">
        <v>94</v>
      </c>
      <c r="C4" s="15">
        <v>2022</v>
      </c>
      <c r="D4" s="15">
        <v>1</v>
      </c>
      <c r="E4" s="35" t="s">
        <v>41</v>
      </c>
      <c r="F4" s="35">
        <v>11.5</v>
      </c>
      <c r="G4" s="14">
        <f t="shared" si="0"/>
        <v>2</v>
      </c>
      <c r="H4" s="19">
        <v>0</v>
      </c>
      <c r="I4" s="19">
        <v>2</v>
      </c>
      <c r="J4" s="24">
        <f>H4/G4</f>
        <v>0</v>
      </c>
      <c r="K4" s="14">
        <v>0.25</v>
      </c>
      <c r="L4" s="19">
        <f t="shared" si="1"/>
        <v>2</v>
      </c>
      <c r="M4" s="19">
        <f>AVERAGE(W4:Z4)</f>
        <v>10</v>
      </c>
      <c r="O4" s="19">
        <v>75</v>
      </c>
      <c r="P4" s="19">
        <v>50</v>
      </c>
      <c r="Q4" s="19">
        <v>3</v>
      </c>
      <c r="R4" s="19">
        <v>6</v>
      </c>
      <c r="S4" s="47" t="s">
        <v>540</v>
      </c>
      <c r="T4" s="48" t="s">
        <v>37</v>
      </c>
      <c r="U4" s="14">
        <v>0</v>
      </c>
      <c r="W4" s="14">
        <v>9</v>
      </c>
      <c r="X4" s="14">
        <v>7</v>
      </c>
      <c r="Y4" s="14">
        <v>15</v>
      </c>
      <c r="Z4" s="14">
        <v>9</v>
      </c>
      <c r="AF4" s="48" t="s">
        <v>37</v>
      </c>
      <c r="AK4" s="42">
        <v>44746</v>
      </c>
    </row>
    <row r="5" spans="1:38" hidden="1" x14ac:dyDescent="0.25">
      <c r="A5" s="47" t="s">
        <v>10</v>
      </c>
      <c r="B5" s="47" t="s">
        <v>94</v>
      </c>
      <c r="C5" s="15">
        <v>2023</v>
      </c>
      <c r="D5" s="15">
        <v>1</v>
      </c>
      <c r="E5" s="35" t="s">
        <v>41</v>
      </c>
      <c r="F5" s="35">
        <v>11.5</v>
      </c>
      <c r="G5" s="14">
        <f t="shared" si="0"/>
        <v>1</v>
      </c>
      <c r="H5" s="19">
        <v>0</v>
      </c>
      <c r="I5" s="19">
        <v>1</v>
      </c>
      <c r="J5" s="24">
        <f>H5/G5</f>
        <v>0</v>
      </c>
      <c r="K5" s="14">
        <v>0.25</v>
      </c>
      <c r="L5" s="19">
        <f t="shared" si="1"/>
        <v>1</v>
      </c>
      <c r="M5" s="19">
        <f>AVERAGE(W5:Z5)</f>
        <v>42.75</v>
      </c>
      <c r="N5" s="19">
        <f>AVERAGE(AA5:AB5)</f>
        <v>29.5</v>
      </c>
      <c r="O5" s="19">
        <v>100</v>
      </c>
      <c r="P5" s="19">
        <v>25</v>
      </c>
      <c r="Q5" s="19">
        <v>10</v>
      </c>
      <c r="R5" s="59" t="s">
        <v>601</v>
      </c>
      <c r="S5" s="59" t="s">
        <v>602</v>
      </c>
      <c r="T5" s="57" t="s">
        <v>37</v>
      </c>
      <c r="U5" s="14">
        <v>0</v>
      </c>
      <c r="W5" s="14">
        <v>41</v>
      </c>
      <c r="X5" s="14">
        <v>43</v>
      </c>
      <c r="Y5" s="14">
        <v>43</v>
      </c>
      <c r="Z5" s="14">
        <v>44</v>
      </c>
      <c r="AA5" s="14">
        <v>29</v>
      </c>
      <c r="AB5" s="14">
        <v>30</v>
      </c>
      <c r="AF5" s="48" t="s">
        <v>37</v>
      </c>
      <c r="AK5" s="42">
        <v>44746</v>
      </c>
    </row>
    <row r="6" spans="1:38" hidden="1" x14ac:dyDescent="0.25">
      <c r="A6" s="47" t="s">
        <v>10</v>
      </c>
      <c r="B6" s="47" t="s">
        <v>94</v>
      </c>
      <c r="C6" s="15">
        <v>2024</v>
      </c>
      <c r="D6" s="15">
        <v>1</v>
      </c>
      <c r="E6" s="35" t="s">
        <v>41</v>
      </c>
      <c r="F6" s="35">
        <v>11.5</v>
      </c>
      <c r="G6" s="14">
        <f t="shared" si="0"/>
        <v>4</v>
      </c>
      <c r="H6" s="19">
        <v>1</v>
      </c>
      <c r="I6" s="19">
        <v>3</v>
      </c>
      <c r="J6" s="24">
        <f>H6/G6</f>
        <v>0.25</v>
      </c>
      <c r="K6" s="14">
        <v>0.25</v>
      </c>
      <c r="L6" s="19">
        <f t="shared" si="1"/>
        <v>4</v>
      </c>
      <c r="M6" s="19">
        <f>AVERAGE(X6:Z6)</f>
        <v>30</v>
      </c>
      <c r="O6" s="19">
        <v>70</v>
      </c>
      <c r="P6" s="19">
        <v>25</v>
      </c>
      <c r="Q6" s="19">
        <v>30</v>
      </c>
      <c r="W6" s="14">
        <v>36</v>
      </c>
      <c r="X6" s="14">
        <v>34</v>
      </c>
      <c r="Y6" s="14">
        <v>17</v>
      </c>
      <c r="Z6" s="14">
        <v>39</v>
      </c>
    </row>
    <row r="7" spans="1:38" hidden="1" x14ac:dyDescent="0.25">
      <c r="A7" s="20" t="s">
        <v>10</v>
      </c>
      <c r="B7" s="27" t="s">
        <v>121</v>
      </c>
      <c r="C7" s="12">
        <v>2020</v>
      </c>
      <c r="D7" s="12">
        <v>1</v>
      </c>
      <c r="E7" s="13" t="s">
        <v>50</v>
      </c>
      <c r="F7" s="13">
        <v>11</v>
      </c>
      <c r="G7" s="5">
        <f t="shared" si="0"/>
        <v>0</v>
      </c>
      <c r="H7" s="20">
        <v>0</v>
      </c>
      <c r="I7" s="20">
        <v>0</v>
      </c>
      <c r="J7" s="20" t="s">
        <v>37</v>
      </c>
      <c r="K7" s="30">
        <v>0.25</v>
      </c>
      <c r="L7" s="27">
        <f t="shared" si="1"/>
        <v>0</v>
      </c>
      <c r="M7" s="27">
        <v>5.5</v>
      </c>
      <c r="N7" s="27"/>
      <c r="O7" s="20">
        <v>80</v>
      </c>
      <c r="P7" s="20">
        <v>0</v>
      </c>
      <c r="Q7" s="20"/>
      <c r="R7" s="27"/>
      <c r="S7" s="27"/>
      <c r="T7" s="30"/>
      <c r="U7" s="30"/>
      <c r="V7" s="30"/>
      <c r="W7" s="30"/>
      <c r="X7" s="30"/>
      <c r="Y7" s="30"/>
      <c r="Z7" s="30"/>
      <c r="AA7" s="30"/>
      <c r="AB7" s="30"/>
      <c r="AC7" s="5"/>
      <c r="AD7" s="5" t="s">
        <v>120</v>
      </c>
      <c r="AE7" s="5" t="s">
        <v>37</v>
      </c>
      <c r="AF7" s="30" t="s">
        <v>37</v>
      </c>
      <c r="AG7" s="30"/>
      <c r="AH7" s="30">
        <v>1</v>
      </c>
      <c r="AI7" s="30">
        <v>1</v>
      </c>
      <c r="AJ7" s="30">
        <v>1</v>
      </c>
      <c r="AK7" s="30"/>
      <c r="AL7" s="5" t="s">
        <v>103</v>
      </c>
    </row>
    <row r="8" spans="1:38" hidden="1" x14ac:dyDescent="0.25">
      <c r="A8" s="20" t="s">
        <v>10</v>
      </c>
      <c r="B8" s="27" t="s">
        <v>121</v>
      </c>
      <c r="C8" s="34">
        <v>2021</v>
      </c>
      <c r="D8" s="34">
        <v>1</v>
      </c>
      <c r="E8" s="13" t="s">
        <v>50</v>
      </c>
      <c r="F8" s="13">
        <v>11</v>
      </c>
      <c r="G8" s="30">
        <f t="shared" si="0"/>
        <v>0</v>
      </c>
      <c r="H8" s="27">
        <v>0</v>
      </c>
      <c r="I8" s="27">
        <v>0</v>
      </c>
      <c r="J8" s="24" t="s">
        <v>37</v>
      </c>
      <c r="K8" s="30">
        <v>0.25</v>
      </c>
      <c r="L8" s="27">
        <f t="shared" si="1"/>
        <v>0</v>
      </c>
      <c r="M8" s="27">
        <f>AVERAGE(W8:Z8)</f>
        <v>10.25</v>
      </c>
      <c r="N8" s="27"/>
      <c r="O8" s="27">
        <v>100</v>
      </c>
      <c r="P8" s="27">
        <v>10</v>
      </c>
      <c r="Q8" s="27">
        <v>1</v>
      </c>
      <c r="R8" s="27">
        <v>0</v>
      </c>
      <c r="S8" s="27"/>
      <c r="T8" s="30"/>
      <c r="U8" s="30"/>
      <c r="V8" s="30"/>
      <c r="W8" s="30">
        <v>20</v>
      </c>
      <c r="X8" s="30">
        <v>8</v>
      </c>
      <c r="Y8" s="30">
        <v>8</v>
      </c>
      <c r="Z8" s="30">
        <v>5</v>
      </c>
      <c r="AA8" s="30"/>
      <c r="AB8" s="30"/>
      <c r="AC8" s="5"/>
      <c r="AD8" s="5" t="s">
        <v>120</v>
      </c>
      <c r="AE8" s="30" t="s">
        <v>37</v>
      </c>
      <c r="AF8" s="30" t="s">
        <v>37</v>
      </c>
      <c r="AG8" s="30" t="s">
        <v>37</v>
      </c>
      <c r="AH8" s="30">
        <v>1</v>
      </c>
      <c r="AI8" s="30">
        <v>1</v>
      </c>
      <c r="AJ8" s="30">
        <v>1</v>
      </c>
      <c r="AK8" s="32">
        <v>44378</v>
      </c>
      <c r="AL8" s="30"/>
    </row>
    <row r="9" spans="1:38" hidden="1" x14ac:dyDescent="0.25">
      <c r="A9" s="47" t="s">
        <v>10</v>
      </c>
      <c r="B9" s="47" t="s">
        <v>121</v>
      </c>
      <c r="C9" s="15">
        <v>2022</v>
      </c>
      <c r="D9" s="15">
        <v>1</v>
      </c>
      <c r="E9" s="13" t="s">
        <v>50</v>
      </c>
      <c r="F9" s="13">
        <v>11</v>
      </c>
      <c r="G9" s="14">
        <f t="shared" si="0"/>
        <v>0</v>
      </c>
      <c r="H9" s="19">
        <v>0</v>
      </c>
      <c r="I9" s="19">
        <v>0</v>
      </c>
      <c r="J9" s="24" t="s">
        <v>37</v>
      </c>
      <c r="K9" s="14">
        <v>0.25</v>
      </c>
      <c r="L9" s="19">
        <f t="shared" si="1"/>
        <v>0</v>
      </c>
      <c r="M9" s="19">
        <f>AVERAGE(W9:Z9)</f>
        <v>15.75</v>
      </c>
      <c r="O9" s="19">
        <v>99</v>
      </c>
      <c r="P9" s="19">
        <v>1</v>
      </c>
      <c r="Q9" s="19">
        <v>3</v>
      </c>
      <c r="R9" s="19">
        <v>0</v>
      </c>
      <c r="S9" s="47" t="s">
        <v>37</v>
      </c>
      <c r="T9" s="48" t="s">
        <v>37</v>
      </c>
      <c r="U9" s="14">
        <v>0</v>
      </c>
      <c r="W9" s="14">
        <v>23</v>
      </c>
      <c r="X9" s="14">
        <v>9</v>
      </c>
      <c r="Y9" s="14">
        <v>12</v>
      </c>
      <c r="Z9" s="14">
        <v>19</v>
      </c>
      <c r="AF9" s="48" t="s">
        <v>37</v>
      </c>
      <c r="AH9" s="48" t="s">
        <v>543</v>
      </c>
      <c r="AK9" s="42">
        <v>44746</v>
      </c>
    </row>
    <row r="10" spans="1:38" hidden="1" x14ac:dyDescent="0.25">
      <c r="A10" s="47" t="s">
        <v>10</v>
      </c>
      <c r="B10" s="47" t="s">
        <v>121</v>
      </c>
      <c r="C10" s="15">
        <v>2023</v>
      </c>
      <c r="D10" s="15">
        <v>1</v>
      </c>
      <c r="E10" s="13" t="s">
        <v>50</v>
      </c>
      <c r="F10" s="13">
        <v>11</v>
      </c>
      <c r="G10" s="14">
        <f t="shared" si="0"/>
        <v>0</v>
      </c>
      <c r="H10" s="19">
        <v>0</v>
      </c>
      <c r="I10" s="19">
        <v>0</v>
      </c>
      <c r="J10" s="24" t="s">
        <v>37</v>
      </c>
      <c r="K10" s="14">
        <v>0.25</v>
      </c>
      <c r="L10" s="19">
        <f t="shared" si="1"/>
        <v>0</v>
      </c>
      <c r="M10" s="19">
        <f>AVERAGE(W10:Z10)</f>
        <v>14.25</v>
      </c>
      <c r="N10" s="19">
        <f>AVERAGE(AA10:AB10)</f>
        <v>16.5</v>
      </c>
      <c r="O10" s="19">
        <v>95</v>
      </c>
      <c r="P10" s="19">
        <v>0</v>
      </c>
      <c r="Q10" s="19">
        <v>8</v>
      </c>
      <c r="R10" s="19">
        <v>0</v>
      </c>
      <c r="S10" s="59" t="s">
        <v>37</v>
      </c>
      <c r="T10" s="57" t="s">
        <v>599</v>
      </c>
      <c r="U10" s="14">
        <v>1</v>
      </c>
      <c r="V10" s="57" t="s">
        <v>600</v>
      </c>
      <c r="W10" s="14">
        <v>8</v>
      </c>
      <c r="X10" s="14">
        <v>9</v>
      </c>
      <c r="Y10" s="14">
        <v>21</v>
      </c>
      <c r="Z10" s="14">
        <v>19</v>
      </c>
      <c r="AA10" s="14">
        <v>14.5</v>
      </c>
      <c r="AB10" s="14">
        <v>18.5</v>
      </c>
      <c r="AF10" s="48" t="s">
        <v>37</v>
      </c>
      <c r="AH10" s="48" t="s">
        <v>543</v>
      </c>
      <c r="AK10" s="42">
        <v>44746</v>
      </c>
    </row>
    <row r="11" spans="1:38" hidden="1" x14ac:dyDescent="0.25">
      <c r="A11" s="47" t="s">
        <v>10</v>
      </c>
      <c r="B11" s="47" t="s">
        <v>121</v>
      </c>
      <c r="C11" s="15">
        <v>2024</v>
      </c>
      <c r="D11" s="15">
        <v>1</v>
      </c>
      <c r="E11" s="13" t="s">
        <v>50</v>
      </c>
      <c r="F11" s="13">
        <v>11</v>
      </c>
      <c r="G11" s="14">
        <f t="shared" si="0"/>
        <v>0</v>
      </c>
      <c r="H11" s="19">
        <v>0</v>
      </c>
      <c r="I11" s="19">
        <v>0</v>
      </c>
      <c r="J11" s="24" t="s">
        <v>37</v>
      </c>
      <c r="K11" s="14">
        <v>0.25</v>
      </c>
      <c r="L11" s="19">
        <f t="shared" si="1"/>
        <v>0</v>
      </c>
      <c r="M11" s="19">
        <f>AVERAGE(X11:Z11)</f>
        <v>23.333333333333332</v>
      </c>
      <c r="O11" s="19">
        <v>97</v>
      </c>
      <c r="P11" s="19">
        <v>0</v>
      </c>
      <c r="Q11" s="19">
        <v>3</v>
      </c>
      <c r="W11" s="14">
        <v>19</v>
      </c>
      <c r="X11" s="14">
        <v>30</v>
      </c>
      <c r="Y11" s="14">
        <v>22</v>
      </c>
      <c r="Z11" s="14">
        <v>18</v>
      </c>
    </row>
    <row r="12" spans="1:38" hidden="1" x14ac:dyDescent="0.25">
      <c r="A12" s="27" t="s">
        <v>10</v>
      </c>
      <c r="B12" s="27" t="s">
        <v>98</v>
      </c>
      <c r="C12" s="34">
        <v>2020</v>
      </c>
      <c r="D12" s="34">
        <v>1</v>
      </c>
      <c r="E12" s="35" t="s">
        <v>41</v>
      </c>
      <c r="F12" s="35">
        <v>12</v>
      </c>
      <c r="G12" s="30">
        <f t="shared" si="0"/>
        <v>17</v>
      </c>
      <c r="H12" s="27">
        <v>4</v>
      </c>
      <c r="I12" s="27">
        <v>13</v>
      </c>
      <c r="J12" s="24">
        <f>H12/G12</f>
        <v>0.23529411764705882</v>
      </c>
      <c r="K12" s="30">
        <v>0.25</v>
      </c>
      <c r="L12" s="27">
        <f t="shared" si="1"/>
        <v>17</v>
      </c>
      <c r="M12" s="27">
        <v>25.8</v>
      </c>
      <c r="N12" s="27"/>
      <c r="O12" s="27">
        <v>99</v>
      </c>
      <c r="P12" s="27">
        <v>70</v>
      </c>
      <c r="Q12" s="27"/>
      <c r="R12" s="27">
        <v>1.5</v>
      </c>
      <c r="S12" s="27" t="s">
        <v>99</v>
      </c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 t="s">
        <v>97</v>
      </c>
      <c r="AE12" s="30" t="s">
        <v>37</v>
      </c>
      <c r="AF12" s="30" t="s">
        <v>37</v>
      </c>
      <c r="AG12" s="30"/>
      <c r="AH12" s="30">
        <v>1</v>
      </c>
      <c r="AI12" s="30">
        <v>1</v>
      </c>
      <c r="AJ12" s="30">
        <v>1</v>
      </c>
      <c r="AK12" s="30"/>
      <c r="AL12" s="30" t="s">
        <v>96</v>
      </c>
    </row>
    <row r="13" spans="1:38" hidden="1" x14ac:dyDescent="0.25">
      <c r="A13" s="27" t="s">
        <v>10</v>
      </c>
      <c r="B13" s="27" t="s">
        <v>98</v>
      </c>
      <c r="C13" s="34">
        <v>2021</v>
      </c>
      <c r="D13" s="34">
        <v>1</v>
      </c>
      <c r="E13" s="35" t="s">
        <v>41</v>
      </c>
      <c r="F13" s="35">
        <v>12</v>
      </c>
      <c r="G13" s="30">
        <f t="shared" si="0"/>
        <v>5</v>
      </c>
      <c r="H13" s="27">
        <v>0</v>
      </c>
      <c r="I13" s="27">
        <v>5</v>
      </c>
      <c r="J13" s="24">
        <f>H13/G13</f>
        <v>0</v>
      </c>
      <c r="K13" s="30">
        <v>0.25</v>
      </c>
      <c r="L13" s="27">
        <f t="shared" si="1"/>
        <v>5</v>
      </c>
      <c r="M13" s="27">
        <f>AVERAGE(W13:Z13)</f>
        <v>21.25</v>
      </c>
      <c r="N13" s="27"/>
      <c r="O13" s="27">
        <v>90</v>
      </c>
      <c r="P13" s="27">
        <v>35</v>
      </c>
      <c r="Q13" s="27">
        <v>5</v>
      </c>
      <c r="R13" s="27">
        <f>1+1</f>
        <v>2</v>
      </c>
      <c r="S13" s="27" t="s">
        <v>262</v>
      </c>
      <c r="T13" s="30"/>
      <c r="U13" s="30"/>
      <c r="V13" s="30"/>
      <c r="W13" s="30">
        <v>25</v>
      </c>
      <c r="X13" s="30">
        <v>20</v>
      </c>
      <c r="Y13" s="30">
        <v>30</v>
      </c>
      <c r="Z13" s="30">
        <v>10</v>
      </c>
      <c r="AA13" s="30"/>
      <c r="AB13" s="30"/>
      <c r="AC13" s="30"/>
      <c r="AD13" s="30" t="s">
        <v>97</v>
      </c>
      <c r="AE13" s="30" t="s">
        <v>37</v>
      </c>
      <c r="AF13" s="30" t="s">
        <v>37</v>
      </c>
      <c r="AG13" s="30" t="s">
        <v>37</v>
      </c>
      <c r="AH13" s="30">
        <v>1</v>
      </c>
      <c r="AI13" s="30">
        <v>1</v>
      </c>
      <c r="AJ13" s="30">
        <v>1</v>
      </c>
      <c r="AK13" s="32">
        <v>44378</v>
      </c>
      <c r="AL13" s="30"/>
    </row>
    <row r="14" spans="1:38" hidden="1" x14ac:dyDescent="0.25">
      <c r="A14" s="47" t="s">
        <v>10</v>
      </c>
      <c r="B14" s="47" t="s">
        <v>98</v>
      </c>
      <c r="C14" s="15">
        <v>2022</v>
      </c>
      <c r="D14" s="15">
        <v>1</v>
      </c>
      <c r="E14" s="35" t="s">
        <v>41</v>
      </c>
      <c r="F14" s="35">
        <v>12</v>
      </c>
      <c r="G14" s="14">
        <f t="shared" si="0"/>
        <v>5</v>
      </c>
      <c r="H14" s="19">
        <v>2</v>
      </c>
      <c r="I14" s="19">
        <v>3</v>
      </c>
      <c r="J14" s="24">
        <f>H14/G14</f>
        <v>0.4</v>
      </c>
      <c r="K14" s="14">
        <v>0.25</v>
      </c>
      <c r="L14" s="19">
        <f t="shared" si="1"/>
        <v>5</v>
      </c>
      <c r="M14" s="19">
        <f>AVERAGE(W14:Z14)</f>
        <v>17.5</v>
      </c>
      <c r="O14" s="19">
        <v>80</v>
      </c>
      <c r="P14" s="19">
        <v>45</v>
      </c>
      <c r="Q14" s="19">
        <v>2</v>
      </c>
      <c r="R14" s="19">
        <v>1</v>
      </c>
      <c r="S14" s="47" t="s">
        <v>541</v>
      </c>
      <c r="T14" s="48" t="s">
        <v>37</v>
      </c>
      <c r="U14" s="14">
        <v>0</v>
      </c>
      <c r="W14" s="14">
        <v>16</v>
      </c>
      <c r="X14" s="14">
        <v>15</v>
      </c>
      <c r="Y14" s="14">
        <v>11</v>
      </c>
      <c r="Z14" s="14">
        <v>28</v>
      </c>
      <c r="AF14" s="48" t="s">
        <v>37</v>
      </c>
      <c r="AK14" s="42">
        <v>44746</v>
      </c>
    </row>
    <row r="15" spans="1:38" hidden="1" x14ac:dyDescent="0.25">
      <c r="A15" s="47" t="s">
        <v>10</v>
      </c>
      <c r="B15" s="47" t="s">
        <v>98</v>
      </c>
      <c r="C15" s="15">
        <v>2023</v>
      </c>
      <c r="D15" s="15">
        <v>1</v>
      </c>
      <c r="E15" s="35" t="s">
        <v>41</v>
      </c>
      <c r="F15" s="35">
        <v>12</v>
      </c>
      <c r="G15" s="14">
        <f t="shared" si="0"/>
        <v>12</v>
      </c>
      <c r="H15" s="19">
        <v>1</v>
      </c>
      <c r="I15" s="19">
        <v>11</v>
      </c>
      <c r="J15" s="24">
        <f>H15/G15</f>
        <v>8.3333333333333329E-2</v>
      </c>
      <c r="K15" s="14">
        <v>0.25</v>
      </c>
      <c r="L15" s="19">
        <f t="shared" si="1"/>
        <v>12</v>
      </c>
      <c r="M15" s="19">
        <f>AVERAGE(W15:Z15)</f>
        <v>53.75</v>
      </c>
      <c r="N15" s="19">
        <f>AVERAGE(AA15:AB15)</f>
        <v>20.5</v>
      </c>
      <c r="O15" s="19">
        <v>100</v>
      </c>
      <c r="P15" s="19">
        <v>15</v>
      </c>
      <c r="Q15" s="19">
        <v>10</v>
      </c>
      <c r="R15" s="19">
        <v>8</v>
      </c>
      <c r="S15" s="59" t="s">
        <v>541</v>
      </c>
      <c r="T15" s="57" t="s">
        <v>37</v>
      </c>
      <c r="U15" s="14">
        <v>0</v>
      </c>
      <c r="V15" s="57" t="s">
        <v>603</v>
      </c>
      <c r="W15" s="14">
        <v>46</v>
      </c>
      <c r="X15" s="14">
        <v>61</v>
      </c>
      <c r="Y15" s="14">
        <v>42</v>
      </c>
      <c r="Z15" s="14">
        <v>66</v>
      </c>
      <c r="AA15" s="14">
        <v>25</v>
      </c>
      <c r="AB15" s="14">
        <v>16</v>
      </c>
      <c r="AF15" s="48" t="s">
        <v>37</v>
      </c>
      <c r="AK15" s="42">
        <v>44746</v>
      </c>
    </row>
    <row r="16" spans="1:38" hidden="1" x14ac:dyDescent="0.25">
      <c r="A16" s="47" t="s">
        <v>10</v>
      </c>
      <c r="B16" s="47" t="s">
        <v>98</v>
      </c>
      <c r="C16" s="15">
        <v>2024</v>
      </c>
      <c r="D16" s="15">
        <v>1</v>
      </c>
      <c r="E16" s="35" t="s">
        <v>41</v>
      </c>
      <c r="F16" s="35">
        <v>12</v>
      </c>
      <c r="G16" s="14">
        <f t="shared" si="0"/>
        <v>9</v>
      </c>
      <c r="H16" s="19">
        <v>0</v>
      </c>
      <c r="I16" s="19">
        <v>9</v>
      </c>
      <c r="J16" s="24">
        <f>H16/G16</f>
        <v>0</v>
      </c>
      <c r="K16" s="14">
        <v>0.25</v>
      </c>
      <c r="L16" s="19">
        <f t="shared" si="1"/>
        <v>9</v>
      </c>
      <c r="M16" s="19">
        <f>AVERAGE(X16:Z16)</f>
        <v>30.333333333333332</v>
      </c>
      <c r="O16" s="19">
        <v>95</v>
      </c>
      <c r="P16" s="19">
        <v>1</v>
      </c>
      <c r="Q16" s="19">
        <v>5</v>
      </c>
      <c r="W16">
        <v>37</v>
      </c>
      <c r="X16">
        <v>27</v>
      </c>
      <c r="Y16">
        <v>31</v>
      </c>
      <c r="Z16">
        <v>33</v>
      </c>
    </row>
    <row r="17" spans="1:38" hidden="1" x14ac:dyDescent="0.25">
      <c r="A17" s="27" t="s">
        <v>10</v>
      </c>
      <c r="B17" s="27" t="s">
        <v>101</v>
      </c>
      <c r="C17" s="34">
        <v>2020</v>
      </c>
      <c r="D17" s="34">
        <v>1</v>
      </c>
      <c r="E17" s="35" t="s">
        <v>44</v>
      </c>
      <c r="F17" s="35">
        <v>0</v>
      </c>
      <c r="G17" s="30">
        <f t="shared" si="0"/>
        <v>0</v>
      </c>
      <c r="H17" s="27">
        <v>0</v>
      </c>
      <c r="I17" s="27">
        <v>0</v>
      </c>
      <c r="J17" s="24" t="s">
        <v>37</v>
      </c>
      <c r="K17" s="30">
        <v>0.25</v>
      </c>
      <c r="L17" s="27">
        <f t="shared" si="1"/>
        <v>0</v>
      </c>
      <c r="M17" s="27">
        <v>12.5</v>
      </c>
      <c r="N17" s="27"/>
      <c r="O17" s="27">
        <v>85</v>
      </c>
      <c r="P17" s="27">
        <v>0</v>
      </c>
      <c r="Q17" s="27"/>
      <c r="R17" s="27">
        <v>15</v>
      </c>
      <c r="S17" s="27" t="s">
        <v>102</v>
      </c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 t="s">
        <v>100</v>
      </c>
      <c r="AE17" s="30" t="s">
        <v>37</v>
      </c>
      <c r="AF17" s="30" t="s">
        <v>37</v>
      </c>
      <c r="AG17" s="30"/>
      <c r="AH17" s="30">
        <v>1</v>
      </c>
      <c r="AI17" s="30">
        <v>1</v>
      </c>
      <c r="AJ17" s="30">
        <v>1</v>
      </c>
      <c r="AK17" s="30"/>
      <c r="AL17" s="30" t="s">
        <v>103</v>
      </c>
    </row>
    <row r="18" spans="1:38" hidden="1" x14ac:dyDescent="0.25">
      <c r="A18" s="27" t="s">
        <v>10</v>
      </c>
      <c r="B18" s="27" t="s">
        <v>101</v>
      </c>
      <c r="C18" s="34">
        <v>2021</v>
      </c>
      <c r="D18" s="34">
        <v>1</v>
      </c>
      <c r="E18" s="35" t="s">
        <v>44</v>
      </c>
      <c r="F18" s="35">
        <v>0</v>
      </c>
      <c r="G18" s="30">
        <f t="shared" si="0"/>
        <v>0</v>
      </c>
      <c r="H18" s="27">
        <v>0</v>
      </c>
      <c r="I18" s="27">
        <v>0</v>
      </c>
      <c r="J18" s="24" t="s">
        <v>37</v>
      </c>
      <c r="K18" s="30">
        <v>0.25</v>
      </c>
      <c r="L18" s="27">
        <f t="shared" si="1"/>
        <v>0</v>
      </c>
      <c r="M18" s="27">
        <f>AVERAGE(W18:Z18)</f>
        <v>30.5</v>
      </c>
      <c r="N18" s="27"/>
      <c r="O18" s="27">
        <v>90</v>
      </c>
      <c r="P18" s="27" t="s">
        <v>37</v>
      </c>
      <c r="Q18" s="27">
        <v>50</v>
      </c>
      <c r="R18" s="27">
        <v>0</v>
      </c>
      <c r="S18" s="27"/>
      <c r="T18" s="30"/>
      <c r="U18" s="30"/>
      <c r="V18" s="30"/>
      <c r="W18" s="30">
        <v>37</v>
      </c>
      <c r="X18" s="30">
        <v>40</v>
      </c>
      <c r="Y18" s="30">
        <v>20</v>
      </c>
      <c r="Z18" s="30">
        <v>25</v>
      </c>
      <c r="AA18" s="30"/>
      <c r="AB18" s="30"/>
      <c r="AC18" s="30"/>
      <c r="AD18" s="30" t="s">
        <v>100</v>
      </c>
      <c r="AE18" s="30" t="s">
        <v>37</v>
      </c>
      <c r="AF18" s="30" t="s">
        <v>37</v>
      </c>
      <c r="AG18" s="30" t="s">
        <v>37</v>
      </c>
      <c r="AH18" s="30">
        <v>1</v>
      </c>
      <c r="AI18" s="30">
        <v>1</v>
      </c>
      <c r="AJ18" s="30">
        <v>1</v>
      </c>
      <c r="AK18" s="32">
        <v>44378</v>
      </c>
      <c r="AL18" s="30"/>
    </row>
    <row r="19" spans="1:38" hidden="1" x14ac:dyDescent="0.25">
      <c r="A19" s="47" t="s">
        <v>10</v>
      </c>
      <c r="B19" s="47" t="s">
        <v>101</v>
      </c>
      <c r="C19" s="15">
        <v>2022</v>
      </c>
      <c r="D19" s="15">
        <v>1</v>
      </c>
      <c r="E19" s="35" t="s">
        <v>44</v>
      </c>
      <c r="F19" s="35">
        <v>0</v>
      </c>
      <c r="G19" s="14">
        <f t="shared" si="0"/>
        <v>0</v>
      </c>
      <c r="H19" s="19">
        <v>0</v>
      </c>
      <c r="I19" s="19">
        <v>0</v>
      </c>
      <c r="J19" s="24" t="s">
        <v>37</v>
      </c>
      <c r="K19" s="14">
        <v>0.25</v>
      </c>
      <c r="L19" s="19">
        <f t="shared" si="1"/>
        <v>0</v>
      </c>
      <c r="M19" s="19">
        <f>AVERAGE(W19:Z19)</f>
        <v>28.75</v>
      </c>
      <c r="O19" s="19">
        <v>100</v>
      </c>
      <c r="P19" s="19">
        <v>1</v>
      </c>
      <c r="Q19" s="19">
        <v>5</v>
      </c>
      <c r="R19" s="19">
        <v>5</v>
      </c>
      <c r="S19" s="47" t="s">
        <v>541</v>
      </c>
      <c r="T19" s="48" t="s">
        <v>37</v>
      </c>
      <c r="U19" s="14">
        <v>0</v>
      </c>
      <c r="W19" s="14">
        <v>27</v>
      </c>
      <c r="X19" s="14">
        <v>29</v>
      </c>
      <c r="Y19" s="14">
        <v>21</v>
      </c>
      <c r="Z19" s="14">
        <v>38</v>
      </c>
      <c r="AF19" s="48" t="s">
        <v>37</v>
      </c>
      <c r="AK19" s="42">
        <v>44746</v>
      </c>
    </row>
    <row r="20" spans="1:38" hidden="1" x14ac:dyDescent="0.25">
      <c r="A20" s="47" t="s">
        <v>10</v>
      </c>
      <c r="B20" s="47" t="s">
        <v>101</v>
      </c>
      <c r="C20" s="15">
        <v>2023</v>
      </c>
      <c r="D20" s="15">
        <v>1</v>
      </c>
      <c r="E20" s="35" t="s">
        <v>44</v>
      </c>
      <c r="F20" s="35">
        <v>0</v>
      </c>
      <c r="G20" s="14">
        <f t="shared" si="0"/>
        <v>0</v>
      </c>
      <c r="H20" s="19">
        <v>0</v>
      </c>
      <c r="I20" s="19">
        <v>0</v>
      </c>
      <c r="J20" s="24" t="s">
        <v>37</v>
      </c>
      <c r="K20" s="14">
        <v>0.25</v>
      </c>
      <c r="L20" s="19">
        <f t="shared" si="1"/>
        <v>0</v>
      </c>
      <c r="M20" s="19">
        <f>AVERAGE(W20:Z20)</f>
        <v>35.75</v>
      </c>
      <c r="N20" s="19">
        <f>AVERAGE(AA20:AB20)</f>
        <v>20.75</v>
      </c>
      <c r="O20" s="19">
        <v>100</v>
      </c>
      <c r="P20" s="19">
        <v>0</v>
      </c>
      <c r="Q20" s="19">
        <v>13</v>
      </c>
      <c r="R20" s="59" t="s">
        <v>591</v>
      </c>
      <c r="S20" s="59" t="s">
        <v>262</v>
      </c>
      <c r="T20" s="57" t="s">
        <v>37</v>
      </c>
      <c r="U20" s="14">
        <v>0</v>
      </c>
      <c r="W20" s="14">
        <v>60</v>
      </c>
      <c r="X20" s="14">
        <v>38</v>
      </c>
      <c r="Y20" s="14">
        <v>21</v>
      </c>
      <c r="Z20" s="14">
        <v>24</v>
      </c>
      <c r="AA20" s="14">
        <v>19</v>
      </c>
      <c r="AB20" s="14">
        <v>22.5</v>
      </c>
      <c r="AF20" s="48" t="s">
        <v>37</v>
      </c>
      <c r="AK20" s="42">
        <v>44746</v>
      </c>
    </row>
    <row r="21" spans="1:38" hidden="1" x14ac:dyDescent="0.25">
      <c r="A21" s="47" t="s">
        <v>10</v>
      </c>
      <c r="B21" s="47" t="s">
        <v>101</v>
      </c>
      <c r="C21" s="15">
        <v>2024</v>
      </c>
      <c r="D21" s="15">
        <v>1</v>
      </c>
      <c r="E21" s="35" t="s">
        <v>44</v>
      </c>
      <c r="F21" s="35">
        <v>0</v>
      </c>
      <c r="G21" s="14">
        <f t="shared" si="0"/>
        <v>0</v>
      </c>
      <c r="H21" s="19">
        <v>0</v>
      </c>
      <c r="I21" s="19">
        <v>0</v>
      </c>
      <c r="J21" s="24" t="s">
        <v>37</v>
      </c>
      <c r="K21" s="14">
        <v>0.25</v>
      </c>
      <c r="L21" s="19">
        <f t="shared" si="1"/>
        <v>0</v>
      </c>
      <c r="M21" s="19">
        <f>AVERAGE(X21:Z21)</f>
        <v>32</v>
      </c>
      <c r="O21" s="19">
        <v>100</v>
      </c>
      <c r="P21" s="19">
        <v>1</v>
      </c>
      <c r="Q21" s="19">
        <v>0</v>
      </c>
      <c r="W21" s="14">
        <v>46</v>
      </c>
      <c r="X21" s="14">
        <v>48</v>
      </c>
      <c r="Y21" s="14">
        <v>33</v>
      </c>
      <c r="Z21" s="14">
        <v>15</v>
      </c>
    </row>
    <row r="22" spans="1:38" hidden="1" x14ac:dyDescent="0.25">
      <c r="A22" s="20" t="s">
        <v>10</v>
      </c>
      <c r="B22" s="27" t="s">
        <v>105</v>
      </c>
      <c r="C22" s="12">
        <v>2020</v>
      </c>
      <c r="D22" s="12">
        <v>1</v>
      </c>
      <c r="E22" s="13" t="s">
        <v>44</v>
      </c>
      <c r="F22" s="13">
        <v>8</v>
      </c>
      <c r="G22" s="5">
        <f t="shared" si="0"/>
        <v>1</v>
      </c>
      <c r="H22" s="20">
        <v>0</v>
      </c>
      <c r="I22" s="20">
        <v>1</v>
      </c>
      <c r="J22" s="24">
        <f>H22/G22</f>
        <v>0</v>
      </c>
      <c r="K22" s="30">
        <v>0.25</v>
      </c>
      <c r="L22" s="27">
        <f t="shared" si="1"/>
        <v>1</v>
      </c>
      <c r="M22" s="27">
        <v>23.75</v>
      </c>
      <c r="N22" s="27"/>
      <c r="O22" s="20">
        <v>75</v>
      </c>
      <c r="P22" s="20">
        <v>80</v>
      </c>
      <c r="Q22" s="20"/>
      <c r="R22" s="20">
        <v>10</v>
      </c>
      <c r="S22" s="27" t="s">
        <v>106</v>
      </c>
      <c r="T22" s="30"/>
      <c r="U22" s="30"/>
      <c r="V22" s="30"/>
      <c r="W22" s="30"/>
      <c r="X22" s="30"/>
      <c r="Y22" s="30"/>
      <c r="Z22" s="30"/>
      <c r="AA22" s="30"/>
      <c r="AB22" s="30"/>
      <c r="AC22" s="5"/>
      <c r="AD22" s="5" t="s">
        <v>104</v>
      </c>
      <c r="AE22" s="5" t="s">
        <v>37</v>
      </c>
      <c r="AF22" s="30" t="s">
        <v>37</v>
      </c>
      <c r="AG22" s="30"/>
      <c r="AH22" s="30">
        <v>1</v>
      </c>
      <c r="AI22" s="30">
        <v>1</v>
      </c>
      <c r="AJ22" s="30">
        <v>1</v>
      </c>
      <c r="AK22" s="30"/>
      <c r="AL22" s="5" t="s">
        <v>103</v>
      </c>
    </row>
    <row r="23" spans="1:38" hidden="1" x14ac:dyDescent="0.25">
      <c r="A23" s="20" t="s">
        <v>10</v>
      </c>
      <c r="B23" s="27" t="s">
        <v>105</v>
      </c>
      <c r="C23" s="34">
        <v>2021</v>
      </c>
      <c r="D23" s="34">
        <v>1</v>
      </c>
      <c r="E23" s="13" t="s">
        <v>44</v>
      </c>
      <c r="F23" s="13">
        <v>8</v>
      </c>
      <c r="G23" s="30">
        <f t="shared" si="0"/>
        <v>0</v>
      </c>
      <c r="H23" s="27">
        <v>0</v>
      </c>
      <c r="I23" s="27">
        <v>0</v>
      </c>
      <c r="J23" s="24" t="s">
        <v>37</v>
      </c>
      <c r="K23" s="30">
        <v>0.25</v>
      </c>
      <c r="L23" s="27">
        <f t="shared" si="1"/>
        <v>0</v>
      </c>
      <c r="M23" s="27">
        <f>AVERAGE(W23:Z23)</f>
        <v>31.25</v>
      </c>
      <c r="N23" s="27"/>
      <c r="O23" s="27">
        <v>75</v>
      </c>
      <c r="P23" s="27">
        <v>75</v>
      </c>
      <c r="Q23" s="27">
        <v>30</v>
      </c>
      <c r="R23" s="27">
        <v>10</v>
      </c>
      <c r="S23" s="27" t="s">
        <v>102</v>
      </c>
      <c r="T23" s="30"/>
      <c r="U23" s="30"/>
      <c r="V23" s="30"/>
      <c r="W23" s="30">
        <v>25</v>
      </c>
      <c r="X23" s="30">
        <v>30</v>
      </c>
      <c r="Y23" s="30">
        <v>30</v>
      </c>
      <c r="Z23" s="30">
        <v>40</v>
      </c>
      <c r="AA23" s="30"/>
      <c r="AB23" s="30"/>
      <c r="AC23" s="5"/>
      <c r="AD23" s="5" t="s">
        <v>104</v>
      </c>
      <c r="AE23" s="30" t="s">
        <v>37</v>
      </c>
      <c r="AF23" s="30" t="s">
        <v>37</v>
      </c>
      <c r="AG23" s="30" t="s">
        <v>37</v>
      </c>
      <c r="AH23" s="30">
        <v>1</v>
      </c>
      <c r="AI23" s="30">
        <v>1</v>
      </c>
      <c r="AJ23" s="30">
        <v>1</v>
      </c>
      <c r="AK23" s="32">
        <v>44378</v>
      </c>
      <c r="AL23" s="30"/>
    </row>
    <row r="24" spans="1:38" hidden="1" x14ac:dyDescent="0.25">
      <c r="A24" s="47" t="s">
        <v>10</v>
      </c>
      <c r="B24" s="47" t="s">
        <v>105</v>
      </c>
      <c r="C24" s="15">
        <v>2022</v>
      </c>
      <c r="D24" s="15">
        <v>1</v>
      </c>
      <c r="E24" s="13" t="s">
        <v>44</v>
      </c>
      <c r="F24" s="13">
        <v>8</v>
      </c>
      <c r="G24" s="14">
        <f t="shared" si="0"/>
        <v>0</v>
      </c>
      <c r="H24" s="19">
        <v>0</v>
      </c>
      <c r="I24" s="19">
        <v>0</v>
      </c>
      <c r="J24" s="24" t="s">
        <v>37</v>
      </c>
      <c r="K24" s="14">
        <v>0.25</v>
      </c>
      <c r="L24" s="19">
        <f t="shared" si="1"/>
        <v>0</v>
      </c>
      <c r="M24" s="19">
        <f>AVERAGE(W24:Z24)</f>
        <v>30</v>
      </c>
      <c r="O24" s="19">
        <v>70</v>
      </c>
      <c r="P24" s="19">
        <v>65</v>
      </c>
      <c r="Q24" s="19">
        <v>12</v>
      </c>
      <c r="R24" s="19">
        <v>8</v>
      </c>
      <c r="S24" s="47" t="s">
        <v>541</v>
      </c>
      <c r="T24" s="48" t="s">
        <v>37</v>
      </c>
      <c r="U24" s="14">
        <v>0</v>
      </c>
      <c r="W24" s="14">
        <v>36</v>
      </c>
      <c r="X24" s="14">
        <v>34</v>
      </c>
      <c r="Y24" s="14">
        <v>18</v>
      </c>
      <c r="Z24" s="14">
        <v>32</v>
      </c>
      <c r="AF24" s="48" t="s">
        <v>37</v>
      </c>
      <c r="AK24" s="42">
        <v>44746</v>
      </c>
    </row>
    <row r="25" spans="1:38" hidden="1" x14ac:dyDescent="0.25">
      <c r="A25" s="47" t="s">
        <v>10</v>
      </c>
      <c r="B25" s="47" t="s">
        <v>105</v>
      </c>
      <c r="C25" s="15">
        <v>2023</v>
      </c>
      <c r="D25" s="15">
        <v>1</v>
      </c>
      <c r="E25" s="13" t="s">
        <v>44</v>
      </c>
      <c r="F25" s="13">
        <v>8</v>
      </c>
      <c r="G25" s="14">
        <f t="shared" si="0"/>
        <v>0</v>
      </c>
      <c r="H25" s="19">
        <v>0</v>
      </c>
      <c r="I25" s="19">
        <v>0</v>
      </c>
      <c r="J25" s="24" t="s">
        <v>37</v>
      </c>
      <c r="K25" s="14">
        <v>0.25</v>
      </c>
      <c r="L25" s="19">
        <f t="shared" si="1"/>
        <v>0</v>
      </c>
      <c r="M25" s="19">
        <f>AVERAGE(W25:Z25)</f>
        <v>43</v>
      </c>
      <c r="N25" s="19">
        <f>AVERAGE(AA25:AB25)</f>
        <v>25.75</v>
      </c>
      <c r="O25" s="19">
        <v>98</v>
      </c>
      <c r="P25" s="19">
        <v>3</v>
      </c>
      <c r="Q25" s="19">
        <v>17</v>
      </c>
      <c r="R25" s="59" t="s">
        <v>593</v>
      </c>
      <c r="S25" s="59" t="s">
        <v>592</v>
      </c>
      <c r="T25" s="57" t="s">
        <v>37</v>
      </c>
      <c r="U25" s="14">
        <v>0</v>
      </c>
      <c r="V25" s="57" t="s">
        <v>594</v>
      </c>
      <c r="W25" s="14">
        <v>55</v>
      </c>
      <c r="X25" s="14">
        <v>20</v>
      </c>
      <c r="Y25" s="14">
        <v>43</v>
      </c>
      <c r="Z25" s="14">
        <v>54</v>
      </c>
      <c r="AA25" s="14">
        <v>22.5</v>
      </c>
      <c r="AB25" s="14">
        <v>29</v>
      </c>
      <c r="AF25" s="48" t="s">
        <v>37</v>
      </c>
      <c r="AK25" s="42">
        <v>44746</v>
      </c>
    </row>
    <row r="26" spans="1:38" hidden="1" x14ac:dyDescent="0.25">
      <c r="A26" s="47" t="s">
        <v>10</v>
      </c>
      <c r="B26" s="47" t="s">
        <v>105</v>
      </c>
      <c r="C26" s="15">
        <v>2024</v>
      </c>
      <c r="D26" s="15">
        <v>1</v>
      </c>
      <c r="E26" s="13" t="s">
        <v>44</v>
      </c>
      <c r="F26" s="13">
        <v>8</v>
      </c>
      <c r="G26" s="14">
        <f t="shared" si="0"/>
        <v>1</v>
      </c>
      <c r="H26" s="19">
        <v>0</v>
      </c>
      <c r="I26" s="19">
        <v>1</v>
      </c>
      <c r="J26" s="24">
        <f t="shared" ref="J26:J36" si="2">H26/G26</f>
        <v>0</v>
      </c>
      <c r="K26" s="14">
        <v>0.25</v>
      </c>
      <c r="L26" s="19">
        <f t="shared" si="1"/>
        <v>1</v>
      </c>
      <c r="M26" s="19">
        <f>AVERAGE(X26:Z26)</f>
        <v>29</v>
      </c>
      <c r="O26" s="19">
        <v>95</v>
      </c>
      <c r="P26" s="19">
        <v>40</v>
      </c>
      <c r="Q26" s="19">
        <v>5</v>
      </c>
      <c r="W26">
        <v>44</v>
      </c>
      <c r="X26">
        <v>46</v>
      </c>
      <c r="Y26">
        <v>33</v>
      </c>
      <c r="Z26">
        <v>8</v>
      </c>
    </row>
    <row r="27" spans="1:38" hidden="1" x14ac:dyDescent="0.25">
      <c r="A27" s="20" t="s">
        <v>10</v>
      </c>
      <c r="B27" s="27" t="s">
        <v>108</v>
      </c>
      <c r="C27" s="12">
        <v>2020</v>
      </c>
      <c r="D27" s="12">
        <v>1</v>
      </c>
      <c r="E27" s="13" t="s">
        <v>47</v>
      </c>
      <c r="F27" s="13">
        <v>2.5</v>
      </c>
      <c r="G27" s="5">
        <f t="shared" si="0"/>
        <v>11</v>
      </c>
      <c r="H27" s="20">
        <v>2</v>
      </c>
      <c r="I27" s="20">
        <v>9</v>
      </c>
      <c r="J27" s="24">
        <f t="shared" si="2"/>
        <v>0.18181818181818182</v>
      </c>
      <c r="K27" s="30">
        <v>0.25</v>
      </c>
      <c r="L27" s="27">
        <f t="shared" si="1"/>
        <v>11</v>
      </c>
      <c r="M27" s="27">
        <v>12.5</v>
      </c>
      <c r="N27" s="27"/>
      <c r="O27" s="20">
        <v>75</v>
      </c>
      <c r="P27" s="20">
        <v>75</v>
      </c>
      <c r="Q27" s="20"/>
      <c r="R27" s="27">
        <v>6</v>
      </c>
      <c r="S27" s="20" t="s">
        <v>109</v>
      </c>
      <c r="T27" s="30"/>
      <c r="U27" s="30"/>
      <c r="V27" s="30"/>
      <c r="W27" s="30"/>
      <c r="X27" s="30"/>
      <c r="Y27" s="30"/>
      <c r="Z27" s="30"/>
      <c r="AA27" s="30"/>
      <c r="AB27" s="30"/>
      <c r="AC27" s="5"/>
      <c r="AD27" s="5" t="s">
        <v>107</v>
      </c>
      <c r="AE27" s="5" t="s">
        <v>37</v>
      </c>
      <c r="AF27" s="30" t="s">
        <v>37</v>
      </c>
      <c r="AG27" s="30"/>
      <c r="AH27" s="30">
        <v>1</v>
      </c>
      <c r="AI27" s="30">
        <v>1</v>
      </c>
      <c r="AJ27" s="30">
        <v>1</v>
      </c>
      <c r="AK27" s="30"/>
      <c r="AL27" s="5" t="s">
        <v>110</v>
      </c>
    </row>
    <row r="28" spans="1:38" hidden="1" x14ac:dyDescent="0.25">
      <c r="A28" s="20" t="s">
        <v>10</v>
      </c>
      <c r="B28" s="27" t="s">
        <v>108</v>
      </c>
      <c r="C28" s="34">
        <v>2021</v>
      </c>
      <c r="D28" s="34">
        <v>1</v>
      </c>
      <c r="E28" s="13" t="s">
        <v>47</v>
      </c>
      <c r="F28" s="13">
        <v>2.5</v>
      </c>
      <c r="G28" s="30">
        <f t="shared" si="0"/>
        <v>17</v>
      </c>
      <c r="H28" s="27">
        <v>2</v>
      </c>
      <c r="I28" s="27">
        <v>15</v>
      </c>
      <c r="J28" s="24">
        <f t="shared" si="2"/>
        <v>0.11764705882352941</v>
      </c>
      <c r="K28" s="30">
        <v>0.25</v>
      </c>
      <c r="L28" s="27">
        <f t="shared" si="1"/>
        <v>17</v>
      </c>
      <c r="M28" s="27">
        <f>AVERAGE(W28:Z28)</f>
        <v>18.75</v>
      </c>
      <c r="N28" s="27"/>
      <c r="O28" s="27">
        <v>95</v>
      </c>
      <c r="P28" s="27">
        <v>10</v>
      </c>
      <c r="Q28" s="27">
        <v>15</v>
      </c>
      <c r="R28" s="27">
        <v>1</v>
      </c>
      <c r="S28" s="27" t="s">
        <v>95</v>
      </c>
      <c r="T28" s="30"/>
      <c r="U28" s="30"/>
      <c r="V28" s="30"/>
      <c r="W28" s="30">
        <v>28</v>
      </c>
      <c r="X28" s="30">
        <v>25</v>
      </c>
      <c r="Y28" s="30">
        <v>12</v>
      </c>
      <c r="Z28" s="30">
        <v>10</v>
      </c>
      <c r="AA28" s="30"/>
      <c r="AB28" s="30"/>
      <c r="AC28" s="5"/>
      <c r="AD28" s="5" t="s">
        <v>107</v>
      </c>
      <c r="AE28" s="30" t="s">
        <v>37</v>
      </c>
      <c r="AF28" s="30" t="s">
        <v>37</v>
      </c>
      <c r="AG28" s="30" t="s">
        <v>37</v>
      </c>
      <c r="AH28" s="30">
        <v>1</v>
      </c>
      <c r="AI28" s="30">
        <v>1</v>
      </c>
      <c r="AJ28" s="30">
        <v>1</v>
      </c>
      <c r="AK28" s="32">
        <v>44378</v>
      </c>
      <c r="AL28" s="30"/>
    </row>
    <row r="29" spans="1:38" hidden="1" x14ac:dyDescent="0.25">
      <c r="A29" s="47" t="s">
        <v>10</v>
      </c>
      <c r="B29" s="47" t="s">
        <v>108</v>
      </c>
      <c r="C29" s="15">
        <v>2022</v>
      </c>
      <c r="D29" s="15">
        <v>1</v>
      </c>
      <c r="E29" s="13" t="s">
        <v>47</v>
      </c>
      <c r="F29" s="13">
        <v>2.5</v>
      </c>
      <c r="G29" s="14">
        <f t="shared" si="0"/>
        <v>17</v>
      </c>
      <c r="H29" s="19">
        <v>0</v>
      </c>
      <c r="I29" s="19">
        <v>17</v>
      </c>
      <c r="J29" s="24">
        <f t="shared" si="2"/>
        <v>0</v>
      </c>
      <c r="K29" s="14">
        <v>0.25</v>
      </c>
      <c r="L29" s="19">
        <f t="shared" si="1"/>
        <v>17</v>
      </c>
      <c r="M29" s="19">
        <f>AVERAGE(W29:Z29)</f>
        <v>9.5</v>
      </c>
      <c r="O29" s="19">
        <v>90</v>
      </c>
      <c r="P29" s="19">
        <v>2</v>
      </c>
      <c r="Q29" s="19">
        <v>6</v>
      </c>
      <c r="R29" s="19">
        <v>6</v>
      </c>
      <c r="S29" s="47" t="s">
        <v>542</v>
      </c>
      <c r="T29" s="48" t="s">
        <v>37</v>
      </c>
      <c r="U29" s="14">
        <v>0</v>
      </c>
      <c r="W29" s="14">
        <v>4</v>
      </c>
      <c r="X29" s="14">
        <v>6</v>
      </c>
      <c r="Y29" s="14">
        <v>13</v>
      </c>
      <c r="Z29" s="14">
        <v>15</v>
      </c>
      <c r="AF29" s="48" t="s">
        <v>37</v>
      </c>
      <c r="AK29" s="42">
        <v>44746</v>
      </c>
    </row>
    <row r="30" spans="1:38" hidden="1" x14ac:dyDescent="0.25">
      <c r="A30" s="47" t="s">
        <v>10</v>
      </c>
      <c r="B30" s="47" t="s">
        <v>108</v>
      </c>
      <c r="C30" s="15">
        <v>2023</v>
      </c>
      <c r="D30" s="15">
        <v>1</v>
      </c>
      <c r="E30" s="13" t="s">
        <v>47</v>
      </c>
      <c r="F30" s="13">
        <v>2.5</v>
      </c>
      <c r="G30" s="14">
        <f t="shared" si="0"/>
        <v>13</v>
      </c>
      <c r="H30" s="19">
        <v>1</v>
      </c>
      <c r="I30" s="19">
        <v>12</v>
      </c>
      <c r="J30" s="24">
        <f t="shared" si="2"/>
        <v>7.6923076923076927E-2</v>
      </c>
      <c r="K30" s="14">
        <v>0.25</v>
      </c>
      <c r="L30" s="19">
        <f t="shared" si="1"/>
        <v>13</v>
      </c>
      <c r="M30" s="19">
        <f>AVERAGE(W30:Z30)</f>
        <v>36.5</v>
      </c>
      <c r="N30" s="19">
        <f>AVERAGE(AA30:AB30)</f>
        <v>27</v>
      </c>
      <c r="O30" s="19">
        <v>99</v>
      </c>
      <c r="P30" s="19">
        <v>3</v>
      </c>
      <c r="Q30" s="19">
        <v>4</v>
      </c>
      <c r="R30" s="59" t="s">
        <v>595</v>
      </c>
      <c r="S30" s="59" t="s">
        <v>596</v>
      </c>
      <c r="T30" s="57" t="s">
        <v>37</v>
      </c>
      <c r="U30" s="14">
        <v>0</v>
      </c>
      <c r="W30" s="14">
        <v>17</v>
      </c>
      <c r="X30" s="14">
        <v>44</v>
      </c>
      <c r="Y30" s="14">
        <v>34</v>
      </c>
      <c r="Z30" s="14">
        <v>51</v>
      </c>
      <c r="AA30" s="14">
        <v>16</v>
      </c>
      <c r="AB30" s="14">
        <v>38</v>
      </c>
      <c r="AF30" s="48" t="s">
        <v>37</v>
      </c>
      <c r="AK30" s="42">
        <v>44746</v>
      </c>
    </row>
    <row r="31" spans="1:38" hidden="1" x14ac:dyDescent="0.25">
      <c r="A31" s="47" t="s">
        <v>10</v>
      </c>
      <c r="B31" s="47" t="s">
        <v>108</v>
      </c>
      <c r="C31" s="15">
        <v>2024</v>
      </c>
      <c r="D31" s="15">
        <v>1</v>
      </c>
      <c r="E31" s="13" t="s">
        <v>47</v>
      </c>
      <c r="F31" s="13">
        <v>2.5</v>
      </c>
      <c r="G31" s="14">
        <f t="shared" si="0"/>
        <v>21</v>
      </c>
      <c r="H31" s="19">
        <v>0</v>
      </c>
      <c r="I31" s="19">
        <v>21</v>
      </c>
      <c r="J31" s="24">
        <f t="shared" si="2"/>
        <v>0</v>
      </c>
      <c r="K31" s="14">
        <v>0.25</v>
      </c>
      <c r="L31" s="19">
        <f t="shared" si="1"/>
        <v>21</v>
      </c>
      <c r="M31" s="19">
        <f>AVERAGE(X31:Z31)</f>
        <v>36</v>
      </c>
      <c r="O31" s="19">
        <v>99</v>
      </c>
      <c r="P31" s="19">
        <v>0</v>
      </c>
      <c r="Q31" s="19">
        <v>1</v>
      </c>
      <c r="W31" s="14">
        <v>36</v>
      </c>
      <c r="X31" s="14">
        <v>44</v>
      </c>
      <c r="Y31" s="14">
        <v>32</v>
      </c>
      <c r="Z31" s="14">
        <v>32</v>
      </c>
    </row>
    <row r="32" spans="1:38" hidden="1" x14ac:dyDescent="0.25">
      <c r="A32" s="20" t="s">
        <v>10</v>
      </c>
      <c r="B32" s="27" t="s">
        <v>112</v>
      </c>
      <c r="C32" s="12">
        <v>2020</v>
      </c>
      <c r="D32" s="12">
        <v>1</v>
      </c>
      <c r="E32" s="13" t="s">
        <v>47</v>
      </c>
      <c r="F32" s="13">
        <v>5</v>
      </c>
      <c r="G32" s="5">
        <f t="shared" si="0"/>
        <v>13</v>
      </c>
      <c r="H32" s="20">
        <v>0</v>
      </c>
      <c r="I32" s="20">
        <v>13</v>
      </c>
      <c r="J32" s="24">
        <f t="shared" si="2"/>
        <v>0</v>
      </c>
      <c r="K32" s="30">
        <v>0.25</v>
      </c>
      <c r="L32" s="27">
        <f t="shared" si="1"/>
        <v>13</v>
      </c>
      <c r="M32" s="27">
        <v>26.25</v>
      </c>
      <c r="N32" s="27"/>
      <c r="O32" s="20">
        <v>65</v>
      </c>
      <c r="P32" s="20">
        <v>90</v>
      </c>
      <c r="Q32" s="20"/>
      <c r="R32" s="20">
        <v>25</v>
      </c>
      <c r="S32" s="27" t="s">
        <v>95</v>
      </c>
      <c r="T32" s="30"/>
      <c r="U32" s="30"/>
      <c r="V32" s="30"/>
      <c r="W32" s="30"/>
      <c r="X32" s="30"/>
      <c r="Y32" s="30"/>
      <c r="Z32" s="30"/>
      <c r="AA32" s="30"/>
      <c r="AB32" s="30"/>
      <c r="AC32" s="5"/>
      <c r="AD32" s="5" t="s">
        <v>111</v>
      </c>
      <c r="AE32" s="5" t="s">
        <v>37</v>
      </c>
      <c r="AF32" s="30" t="s">
        <v>37</v>
      </c>
      <c r="AG32" s="30"/>
      <c r="AH32" s="30">
        <v>1</v>
      </c>
      <c r="AI32" s="30">
        <v>1</v>
      </c>
      <c r="AJ32" s="30">
        <v>1</v>
      </c>
      <c r="AK32" s="30"/>
      <c r="AL32" s="5" t="s">
        <v>103</v>
      </c>
    </row>
    <row r="33" spans="1:38" hidden="1" x14ac:dyDescent="0.25">
      <c r="A33" s="20" t="s">
        <v>10</v>
      </c>
      <c r="B33" s="27" t="s">
        <v>112</v>
      </c>
      <c r="C33" s="34">
        <v>2021</v>
      </c>
      <c r="D33" s="34">
        <v>1</v>
      </c>
      <c r="E33" s="13" t="s">
        <v>47</v>
      </c>
      <c r="F33" s="13">
        <v>5</v>
      </c>
      <c r="G33" s="30">
        <f t="shared" si="0"/>
        <v>21</v>
      </c>
      <c r="H33" s="27">
        <v>4</v>
      </c>
      <c r="I33" s="27">
        <v>17</v>
      </c>
      <c r="J33" s="24">
        <f t="shared" si="2"/>
        <v>0.19047619047619047</v>
      </c>
      <c r="K33" s="30">
        <v>0.25</v>
      </c>
      <c r="L33" s="27">
        <f t="shared" si="1"/>
        <v>21</v>
      </c>
      <c r="M33" s="27">
        <f>AVERAGE(W33:Z33)</f>
        <v>18.75</v>
      </c>
      <c r="N33" s="27"/>
      <c r="O33" s="27">
        <v>70</v>
      </c>
      <c r="P33" s="27">
        <v>70</v>
      </c>
      <c r="Q33" s="27">
        <v>20</v>
      </c>
      <c r="R33" s="27">
        <v>25</v>
      </c>
      <c r="S33" s="27" t="s">
        <v>95</v>
      </c>
      <c r="T33" s="30"/>
      <c r="U33" s="30"/>
      <c r="V33" s="30"/>
      <c r="W33" s="30">
        <v>15</v>
      </c>
      <c r="X33" s="30">
        <v>20</v>
      </c>
      <c r="Y33" s="30">
        <v>25</v>
      </c>
      <c r="Z33" s="30">
        <v>15</v>
      </c>
      <c r="AA33" s="30"/>
      <c r="AB33" s="30"/>
      <c r="AC33" s="5"/>
      <c r="AD33" s="5" t="s">
        <v>111</v>
      </c>
      <c r="AE33" s="30" t="s">
        <v>37</v>
      </c>
      <c r="AF33" s="30" t="s">
        <v>37</v>
      </c>
      <c r="AG33" s="30" t="s">
        <v>37</v>
      </c>
      <c r="AH33" s="30">
        <v>1</v>
      </c>
      <c r="AI33" s="30">
        <v>1</v>
      </c>
      <c r="AJ33" s="30">
        <v>1</v>
      </c>
      <c r="AK33" s="32">
        <v>44378</v>
      </c>
      <c r="AL33" s="30"/>
    </row>
    <row r="34" spans="1:38" hidden="1" x14ac:dyDescent="0.25">
      <c r="A34" s="47" t="s">
        <v>10</v>
      </c>
      <c r="B34" s="47" t="s">
        <v>112</v>
      </c>
      <c r="C34" s="15">
        <v>2022</v>
      </c>
      <c r="D34" s="15">
        <v>1</v>
      </c>
      <c r="E34" s="13" t="s">
        <v>47</v>
      </c>
      <c r="F34" s="13">
        <v>5</v>
      </c>
      <c r="G34" s="14">
        <f t="shared" ref="G34:G65" si="3">SUM(H34:I34)</f>
        <v>22</v>
      </c>
      <c r="H34" s="19">
        <v>3</v>
      </c>
      <c r="I34" s="19">
        <v>19</v>
      </c>
      <c r="J34" s="24">
        <f t="shared" si="2"/>
        <v>0.13636363636363635</v>
      </c>
      <c r="K34" s="14">
        <v>0.25</v>
      </c>
      <c r="L34" s="19">
        <f t="shared" ref="L34:L65" si="4">G34/(K34/0.25)</f>
        <v>22</v>
      </c>
      <c r="M34" s="19">
        <f>AVERAGE(W34:Z34)</f>
        <v>30</v>
      </c>
      <c r="O34" s="19">
        <v>85</v>
      </c>
      <c r="P34" s="19">
        <v>10</v>
      </c>
      <c r="Q34" s="19">
        <v>3</v>
      </c>
      <c r="R34" s="19">
        <v>42</v>
      </c>
      <c r="S34" s="47" t="s">
        <v>542</v>
      </c>
      <c r="T34" s="48" t="s">
        <v>37</v>
      </c>
      <c r="U34" s="14">
        <v>0</v>
      </c>
      <c r="W34" s="14">
        <v>25</v>
      </c>
      <c r="X34" s="14">
        <v>34</v>
      </c>
      <c r="Y34" s="14">
        <v>28</v>
      </c>
      <c r="Z34" s="14">
        <v>33</v>
      </c>
      <c r="AF34" s="48" t="s">
        <v>37</v>
      </c>
      <c r="AK34" s="42">
        <v>44746</v>
      </c>
    </row>
    <row r="35" spans="1:38" hidden="1" x14ac:dyDescent="0.25">
      <c r="A35" s="47" t="s">
        <v>10</v>
      </c>
      <c r="B35" s="47" t="s">
        <v>112</v>
      </c>
      <c r="C35" s="15">
        <v>2023</v>
      </c>
      <c r="D35" s="15">
        <v>1</v>
      </c>
      <c r="E35" s="13" t="s">
        <v>47</v>
      </c>
      <c r="F35" s="13">
        <v>5</v>
      </c>
      <c r="G35" s="14">
        <f t="shared" si="3"/>
        <v>23</v>
      </c>
      <c r="H35" s="19">
        <v>4</v>
      </c>
      <c r="I35" s="19">
        <v>19</v>
      </c>
      <c r="J35" s="24">
        <f t="shared" si="2"/>
        <v>0.17391304347826086</v>
      </c>
      <c r="K35" s="14">
        <v>0.25</v>
      </c>
      <c r="L35" s="19">
        <f t="shared" si="4"/>
        <v>23</v>
      </c>
      <c r="M35" s="19">
        <f>AVERAGE(W35:Z35)</f>
        <v>57</v>
      </c>
      <c r="N35" s="19">
        <f>AVERAGE(AA35:AB35)</f>
        <v>20</v>
      </c>
      <c r="O35" s="19">
        <v>100</v>
      </c>
      <c r="P35" s="19">
        <v>1</v>
      </c>
      <c r="Q35" s="19">
        <v>15</v>
      </c>
      <c r="R35" s="59" t="s">
        <v>598</v>
      </c>
      <c r="S35" s="59" t="s">
        <v>596</v>
      </c>
      <c r="T35" s="57" t="s">
        <v>37</v>
      </c>
      <c r="U35" s="14">
        <v>0</v>
      </c>
      <c r="W35" s="14">
        <v>47</v>
      </c>
      <c r="X35" s="14">
        <v>46</v>
      </c>
      <c r="Y35" s="14">
        <v>70</v>
      </c>
      <c r="Z35" s="14">
        <v>65</v>
      </c>
      <c r="AA35" s="14">
        <v>20.5</v>
      </c>
      <c r="AB35" s="14">
        <v>19.5</v>
      </c>
      <c r="AF35" s="48" t="s">
        <v>37</v>
      </c>
      <c r="AK35" s="42">
        <v>44746</v>
      </c>
    </row>
    <row r="36" spans="1:38" hidden="1" x14ac:dyDescent="0.25">
      <c r="A36" s="47" t="s">
        <v>10</v>
      </c>
      <c r="B36" s="47" t="s">
        <v>112</v>
      </c>
      <c r="C36" s="15">
        <v>2024</v>
      </c>
      <c r="D36" s="15">
        <v>1</v>
      </c>
      <c r="E36" s="13" t="s">
        <v>47</v>
      </c>
      <c r="F36" s="13">
        <v>5</v>
      </c>
      <c r="G36" s="14">
        <f t="shared" si="3"/>
        <v>18</v>
      </c>
      <c r="H36" s="19">
        <v>1</v>
      </c>
      <c r="I36" s="19">
        <v>17</v>
      </c>
      <c r="J36" s="24">
        <f t="shared" si="2"/>
        <v>5.5555555555555552E-2</v>
      </c>
      <c r="K36" s="14">
        <v>0.25</v>
      </c>
      <c r="L36" s="19">
        <f t="shared" si="4"/>
        <v>18</v>
      </c>
      <c r="M36" s="19">
        <f>AVERAGE(X36:Z36)</f>
        <v>36.666666666666664</v>
      </c>
      <c r="O36" s="19">
        <v>100</v>
      </c>
      <c r="P36" s="19">
        <v>30</v>
      </c>
      <c r="Q36" s="19">
        <v>0</v>
      </c>
      <c r="W36" s="14">
        <v>33</v>
      </c>
      <c r="X36" s="14">
        <v>36</v>
      </c>
      <c r="Y36" s="14">
        <v>39</v>
      </c>
      <c r="Z36" s="14">
        <v>35</v>
      </c>
    </row>
    <row r="37" spans="1:38" hidden="1" x14ac:dyDescent="0.25">
      <c r="A37" s="20" t="s">
        <v>10</v>
      </c>
      <c r="B37" s="27" t="s">
        <v>114</v>
      </c>
      <c r="C37" s="12">
        <v>2020</v>
      </c>
      <c r="D37" s="12">
        <v>1</v>
      </c>
      <c r="E37" s="13" t="s">
        <v>47</v>
      </c>
      <c r="F37" s="13">
        <v>9.5</v>
      </c>
      <c r="G37" s="5">
        <f t="shared" si="3"/>
        <v>0</v>
      </c>
      <c r="H37" s="20">
        <v>0</v>
      </c>
      <c r="I37" s="20">
        <v>0</v>
      </c>
      <c r="J37" s="24" t="s">
        <v>37</v>
      </c>
      <c r="K37" s="30">
        <v>0.25</v>
      </c>
      <c r="L37" s="27">
        <f t="shared" si="4"/>
        <v>0</v>
      </c>
      <c r="M37" s="27" t="s">
        <v>37</v>
      </c>
      <c r="N37" s="27"/>
      <c r="O37" s="20">
        <v>55</v>
      </c>
      <c r="P37" s="20">
        <v>25</v>
      </c>
      <c r="Q37" s="20"/>
      <c r="R37" s="20">
        <v>7</v>
      </c>
      <c r="S37" s="27" t="s">
        <v>95</v>
      </c>
      <c r="T37" s="30"/>
      <c r="U37" s="30"/>
      <c r="V37" s="30"/>
      <c r="W37" s="30"/>
      <c r="X37" s="30"/>
      <c r="Y37" s="30"/>
      <c r="Z37" s="30"/>
      <c r="AA37" s="30"/>
      <c r="AB37" s="30"/>
      <c r="AC37" s="5"/>
      <c r="AD37" s="5" t="s">
        <v>113</v>
      </c>
      <c r="AE37" s="5" t="s">
        <v>37</v>
      </c>
      <c r="AF37" s="30" t="s">
        <v>37</v>
      </c>
      <c r="AG37" s="30"/>
      <c r="AH37" s="30">
        <v>1</v>
      </c>
      <c r="AI37" s="30">
        <v>1</v>
      </c>
      <c r="AJ37" s="30">
        <v>1</v>
      </c>
      <c r="AK37" s="30"/>
      <c r="AL37" s="5" t="s">
        <v>103</v>
      </c>
    </row>
    <row r="38" spans="1:38" hidden="1" x14ac:dyDescent="0.25">
      <c r="A38" s="20" t="s">
        <v>10</v>
      </c>
      <c r="B38" s="27" t="s">
        <v>114</v>
      </c>
      <c r="C38" s="34">
        <v>2021</v>
      </c>
      <c r="D38" s="34">
        <v>1</v>
      </c>
      <c r="E38" s="13" t="s">
        <v>47</v>
      </c>
      <c r="F38" s="13">
        <v>9.5</v>
      </c>
      <c r="G38" s="30">
        <f t="shared" si="3"/>
        <v>0</v>
      </c>
      <c r="H38" s="27">
        <v>0</v>
      </c>
      <c r="I38" s="27">
        <v>0</v>
      </c>
      <c r="J38" s="24" t="s">
        <v>37</v>
      </c>
      <c r="K38" s="30">
        <v>0.25</v>
      </c>
      <c r="L38" s="27">
        <f t="shared" si="4"/>
        <v>0</v>
      </c>
      <c r="M38" s="27">
        <f>AVERAGE(W38:Z38)</f>
        <v>28.75</v>
      </c>
      <c r="N38" s="27"/>
      <c r="O38" s="27">
        <v>60</v>
      </c>
      <c r="P38" s="27">
        <v>4</v>
      </c>
      <c r="Q38" s="27">
        <v>25</v>
      </c>
      <c r="R38" s="27">
        <f>1+1</f>
        <v>2</v>
      </c>
      <c r="S38" s="27" t="s">
        <v>262</v>
      </c>
      <c r="T38" s="30"/>
      <c r="U38" s="30"/>
      <c r="V38" s="30"/>
      <c r="W38" s="30">
        <v>30</v>
      </c>
      <c r="X38" s="30">
        <v>25</v>
      </c>
      <c r="Y38" s="30">
        <v>35</v>
      </c>
      <c r="Z38" s="30">
        <v>25</v>
      </c>
      <c r="AA38" s="30"/>
      <c r="AB38" s="30"/>
      <c r="AC38" s="5"/>
      <c r="AD38" s="5" t="s">
        <v>113</v>
      </c>
      <c r="AE38" s="30" t="s">
        <v>37</v>
      </c>
      <c r="AF38" s="30" t="s">
        <v>37</v>
      </c>
      <c r="AG38" s="30" t="s">
        <v>37</v>
      </c>
      <c r="AH38" s="30">
        <v>1</v>
      </c>
      <c r="AI38" s="30">
        <v>1</v>
      </c>
      <c r="AJ38" s="30">
        <v>1</v>
      </c>
      <c r="AK38" s="32">
        <v>44378</v>
      </c>
      <c r="AL38" s="30"/>
    </row>
    <row r="39" spans="1:38" hidden="1" x14ac:dyDescent="0.25">
      <c r="A39" s="47" t="s">
        <v>10</v>
      </c>
      <c r="B39" s="47" t="s">
        <v>114</v>
      </c>
      <c r="C39" s="15">
        <v>2022</v>
      </c>
      <c r="D39" s="15">
        <v>1</v>
      </c>
      <c r="E39" s="13" t="s">
        <v>47</v>
      </c>
      <c r="F39" s="13">
        <v>9.5</v>
      </c>
      <c r="G39" s="14">
        <f t="shared" si="3"/>
        <v>0</v>
      </c>
      <c r="H39" s="19">
        <v>0</v>
      </c>
      <c r="I39" s="19">
        <v>0</v>
      </c>
      <c r="J39" s="24" t="s">
        <v>37</v>
      </c>
      <c r="K39" s="14">
        <v>0.25</v>
      </c>
      <c r="L39" s="19">
        <f t="shared" si="4"/>
        <v>0</v>
      </c>
      <c r="M39" s="19">
        <f>AVERAGE(W39:Z39)</f>
        <v>23</v>
      </c>
      <c r="O39" s="19">
        <v>70</v>
      </c>
      <c r="P39" s="19">
        <v>40</v>
      </c>
      <c r="Q39" s="19">
        <v>8</v>
      </c>
      <c r="R39" s="19">
        <v>10</v>
      </c>
      <c r="S39" s="47" t="s">
        <v>542</v>
      </c>
      <c r="T39" s="48" t="s">
        <v>37</v>
      </c>
      <c r="U39" s="14">
        <v>0</v>
      </c>
      <c r="W39" s="14">
        <v>28</v>
      </c>
      <c r="X39" s="14">
        <v>17</v>
      </c>
      <c r="Y39" s="14">
        <v>15</v>
      </c>
      <c r="Z39" s="14">
        <v>32</v>
      </c>
      <c r="AF39" s="48" t="s">
        <v>37</v>
      </c>
      <c r="AK39" s="42">
        <v>44746</v>
      </c>
    </row>
    <row r="40" spans="1:38" hidden="1" x14ac:dyDescent="0.25">
      <c r="A40" s="47" t="s">
        <v>10</v>
      </c>
      <c r="B40" s="47" t="s">
        <v>114</v>
      </c>
      <c r="C40" s="15">
        <v>2023</v>
      </c>
      <c r="D40" s="15">
        <v>1</v>
      </c>
      <c r="E40" s="13" t="s">
        <v>47</v>
      </c>
      <c r="F40" s="13">
        <v>9.5</v>
      </c>
      <c r="G40" s="14">
        <f t="shared" si="3"/>
        <v>0</v>
      </c>
      <c r="H40" s="19">
        <v>0</v>
      </c>
      <c r="I40" s="19">
        <v>0</v>
      </c>
      <c r="J40" s="24" t="s">
        <v>37</v>
      </c>
      <c r="K40" s="14">
        <v>0.25</v>
      </c>
      <c r="L40" s="19">
        <f t="shared" si="4"/>
        <v>0</v>
      </c>
      <c r="M40" s="19">
        <f>AVERAGE(W40:Z40)</f>
        <v>54</v>
      </c>
      <c r="N40" s="19">
        <f>AVERAGE(AA40:AB40)</f>
        <v>29.5</v>
      </c>
      <c r="O40" s="19">
        <v>100</v>
      </c>
      <c r="P40" s="19">
        <v>0</v>
      </c>
      <c r="Q40" s="19">
        <v>60</v>
      </c>
      <c r="R40" s="59" t="s">
        <v>597</v>
      </c>
      <c r="S40" s="59" t="s">
        <v>596</v>
      </c>
      <c r="T40" s="57" t="s">
        <v>37</v>
      </c>
      <c r="U40" s="14">
        <v>0</v>
      </c>
      <c r="W40" s="14">
        <v>53</v>
      </c>
      <c r="X40" s="14">
        <v>44</v>
      </c>
      <c r="Y40" s="14">
        <v>63</v>
      </c>
      <c r="Z40" s="14">
        <v>56</v>
      </c>
      <c r="AA40" s="14">
        <v>21</v>
      </c>
      <c r="AB40" s="14">
        <v>38</v>
      </c>
      <c r="AF40" s="48" t="s">
        <v>37</v>
      </c>
      <c r="AK40" s="42">
        <v>44746</v>
      </c>
    </row>
    <row r="41" spans="1:38" hidden="1" x14ac:dyDescent="0.25">
      <c r="A41" s="47" t="s">
        <v>10</v>
      </c>
      <c r="B41" s="47" t="s">
        <v>114</v>
      </c>
      <c r="C41" s="15">
        <v>2024</v>
      </c>
      <c r="D41" s="15">
        <v>1</v>
      </c>
      <c r="E41" s="13" t="s">
        <v>47</v>
      </c>
      <c r="F41" s="13">
        <v>9.5</v>
      </c>
      <c r="G41" s="14">
        <f t="shared" si="3"/>
        <v>0</v>
      </c>
      <c r="H41" s="19">
        <v>0</v>
      </c>
      <c r="I41" s="19">
        <v>0</v>
      </c>
      <c r="J41" s="24" t="s">
        <v>37</v>
      </c>
      <c r="K41" s="14">
        <v>0.25</v>
      </c>
      <c r="L41" s="19">
        <f t="shared" si="4"/>
        <v>0</v>
      </c>
      <c r="M41" s="19">
        <f>AVERAGE(X41:Z41)</f>
        <v>33.666666666666664</v>
      </c>
      <c r="O41" s="19">
        <v>99</v>
      </c>
      <c r="P41" s="19">
        <v>5</v>
      </c>
      <c r="Q41" s="19">
        <v>1</v>
      </c>
      <c r="W41" s="14">
        <v>39</v>
      </c>
      <c r="X41" s="14">
        <v>38</v>
      </c>
      <c r="Y41" s="14">
        <v>28</v>
      </c>
      <c r="Z41" s="14">
        <v>35</v>
      </c>
    </row>
    <row r="42" spans="1:38" hidden="1" x14ac:dyDescent="0.25">
      <c r="A42" s="20" t="s">
        <v>10</v>
      </c>
      <c r="B42" s="27" t="s">
        <v>116</v>
      </c>
      <c r="C42" s="12">
        <v>2020</v>
      </c>
      <c r="D42" s="12">
        <v>1</v>
      </c>
      <c r="E42" s="13" t="s">
        <v>50</v>
      </c>
      <c r="F42" s="13">
        <v>2</v>
      </c>
      <c r="G42" s="5">
        <f t="shared" si="3"/>
        <v>2</v>
      </c>
      <c r="H42" s="20">
        <v>2</v>
      </c>
      <c r="I42" s="20">
        <v>0</v>
      </c>
      <c r="J42" s="24">
        <f>H42/G42</f>
        <v>1</v>
      </c>
      <c r="K42" s="30">
        <v>0.25</v>
      </c>
      <c r="L42" s="27">
        <f t="shared" si="4"/>
        <v>2</v>
      </c>
      <c r="M42" s="27">
        <v>3.75</v>
      </c>
      <c r="N42" s="27"/>
      <c r="O42" s="20">
        <v>60</v>
      </c>
      <c r="P42" s="20">
        <v>0</v>
      </c>
      <c r="Q42" s="20"/>
      <c r="R42" s="27"/>
      <c r="S42" s="27"/>
      <c r="T42" s="30"/>
      <c r="U42" s="30"/>
      <c r="V42" s="30"/>
      <c r="W42" s="30"/>
      <c r="X42" s="30"/>
      <c r="Y42" s="30"/>
      <c r="Z42" s="30"/>
      <c r="AA42" s="30"/>
      <c r="AB42" s="30"/>
      <c r="AC42" s="5"/>
      <c r="AD42" s="5" t="s">
        <v>115</v>
      </c>
      <c r="AE42" s="5" t="s">
        <v>37</v>
      </c>
      <c r="AF42" s="30" t="s">
        <v>37</v>
      </c>
      <c r="AG42" s="30"/>
      <c r="AH42" s="30">
        <v>1</v>
      </c>
      <c r="AI42" s="30">
        <v>1</v>
      </c>
      <c r="AJ42" s="30">
        <v>1</v>
      </c>
      <c r="AK42" s="30"/>
      <c r="AL42" s="5" t="s">
        <v>117</v>
      </c>
    </row>
    <row r="43" spans="1:38" hidden="1" x14ac:dyDescent="0.25">
      <c r="A43" s="20" t="s">
        <v>10</v>
      </c>
      <c r="B43" s="27" t="s">
        <v>116</v>
      </c>
      <c r="C43" s="34">
        <v>2021</v>
      </c>
      <c r="D43" s="34">
        <v>1</v>
      </c>
      <c r="E43" s="13" t="s">
        <v>50</v>
      </c>
      <c r="F43" s="13">
        <v>2</v>
      </c>
      <c r="G43" s="30">
        <f t="shared" si="3"/>
        <v>4</v>
      </c>
      <c r="H43" s="27">
        <v>0</v>
      </c>
      <c r="I43" s="27">
        <v>4</v>
      </c>
      <c r="J43" s="24">
        <f>H43/G43</f>
        <v>0</v>
      </c>
      <c r="K43" s="30">
        <v>0.25</v>
      </c>
      <c r="L43" s="27">
        <f t="shared" si="4"/>
        <v>4</v>
      </c>
      <c r="M43" s="27">
        <f>AVERAGE(W43:Z43)</f>
        <v>6.75</v>
      </c>
      <c r="N43" s="27"/>
      <c r="O43" s="27">
        <v>95</v>
      </c>
      <c r="P43" s="27">
        <v>5</v>
      </c>
      <c r="Q43" s="27">
        <v>5</v>
      </c>
      <c r="R43" s="27">
        <v>0</v>
      </c>
      <c r="S43" s="27"/>
      <c r="T43" s="30"/>
      <c r="U43" s="30"/>
      <c r="V43" s="30"/>
      <c r="W43" s="30">
        <v>8</v>
      </c>
      <c r="X43" s="30">
        <v>10</v>
      </c>
      <c r="Y43" s="30">
        <v>5</v>
      </c>
      <c r="Z43" s="30">
        <v>4</v>
      </c>
      <c r="AA43" s="30"/>
      <c r="AB43" s="30"/>
      <c r="AC43" s="5"/>
      <c r="AD43" s="5" t="s">
        <v>115</v>
      </c>
      <c r="AE43" s="30" t="s">
        <v>37</v>
      </c>
      <c r="AF43" s="30" t="s">
        <v>37</v>
      </c>
      <c r="AG43" s="30" t="s">
        <v>37</v>
      </c>
      <c r="AH43" s="30">
        <v>1</v>
      </c>
      <c r="AI43" s="30">
        <v>1</v>
      </c>
      <c r="AJ43" s="30">
        <v>1</v>
      </c>
      <c r="AK43" s="32">
        <v>44378</v>
      </c>
      <c r="AL43" s="30"/>
    </row>
    <row r="44" spans="1:38" hidden="1" x14ac:dyDescent="0.25">
      <c r="A44" s="47" t="s">
        <v>10</v>
      </c>
      <c r="B44" s="47" t="s">
        <v>116</v>
      </c>
      <c r="C44" s="15">
        <v>2022</v>
      </c>
      <c r="D44" s="15">
        <v>1</v>
      </c>
      <c r="E44" s="13" t="s">
        <v>50</v>
      </c>
      <c r="F44" s="13">
        <v>2</v>
      </c>
      <c r="G44" s="14">
        <f t="shared" si="3"/>
        <v>6</v>
      </c>
      <c r="H44" s="19">
        <v>0</v>
      </c>
      <c r="I44" s="19">
        <v>6</v>
      </c>
      <c r="J44" s="24">
        <f>H44/G44</f>
        <v>0</v>
      </c>
      <c r="K44" s="14">
        <v>0.25</v>
      </c>
      <c r="L44" s="19">
        <f t="shared" si="4"/>
        <v>6</v>
      </c>
      <c r="M44" s="19">
        <f>AVERAGE(W44:Z44)</f>
        <v>10.25</v>
      </c>
      <c r="O44" s="19">
        <v>99</v>
      </c>
      <c r="P44" s="19">
        <v>5</v>
      </c>
      <c r="Q44" s="19">
        <v>3</v>
      </c>
      <c r="R44" s="19">
        <v>0.1</v>
      </c>
      <c r="S44" s="47" t="s">
        <v>540</v>
      </c>
      <c r="T44" s="48" t="s">
        <v>37</v>
      </c>
      <c r="U44" s="14">
        <v>0</v>
      </c>
      <c r="W44" s="14">
        <v>15</v>
      </c>
      <c r="X44" s="14">
        <v>9</v>
      </c>
      <c r="Y44" s="14">
        <v>11</v>
      </c>
      <c r="Z44" s="14">
        <v>6</v>
      </c>
      <c r="AF44" s="48" t="s">
        <v>37</v>
      </c>
      <c r="AK44" s="42">
        <v>44746</v>
      </c>
    </row>
    <row r="45" spans="1:38" hidden="1" x14ac:dyDescent="0.25">
      <c r="A45" s="47" t="s">
        <v>10</v>
      </c>
      <c r="B45" s="47" t="s">
        <v>116</v>
      </c>
      <c r="C45" s="15">
        <v>2023</v>
      </c>
      <c r="D45" s="15">
        <v>1</v>
      </c>
      <c r="E45" s="13" t="s">
        <v>50</v>
      </c>
      <c r="F45" s="13">
        <v>2</v>
      </c>
      <c r="G45" s="14">
        <f t="shared" si="3"/>
        <v>7</v>
      </c>
      <c r="H45" s="19">
        <v>2</v>
      </c>
      <c r="I45" s="19">
        <v>5</v>
      </c>
      <c r="J45" s="24">
        <f>H45/G45</f>
        <v>0.2857142857142857</v>
      </c>
      <c r="K45" s="14">
        <v>0.25</v>
      </c>
      <c r="L45" s="19">
        <f t="shared" si="4"/>
        <v>7</v>
      </c>
      <c r="M45" s="19">
        <f>AVERAGE(W45:Z45)</f>
        <v>12.5</v>
      </c>
      <c r="N45" s="19">
        <f>AVERAGE(AA45:AB45)</f>
        <v>18.5</v>
      </c>
      <c r="O45" s="19">
        <v>99</v>
      </c>
      <c r="P45" s="19">
        <v>3</v>
      </c>
      <c r="Q45" s="19">
        <v>4</v>
      </c>
      <c r="R45" s="19">
        <v>3</v>
      </c>
      <c r="S45" s="59" t="s">
        <v>540</v>
      </c>
      <c r="T45" s="57" t="s">
        <v>506</v>
      </c>
      <c r="U45" s="14">
        <v>2</v>
      </c>
      <c r="W45" s="14">
        <v>6</v>
      </c>
      <c r="X45" s="14">
        <v>9</v>
      </c>
      <c r="Y45" s="14">
        <v>23</v>
      </c>
      <c r="Z45" s="14">
        <v>12</v>
      </c>
      <c r="AA45" s="14">
        <v>13.5</v>
      </c>
      <c r="AB45" s="14">
        <v>23.5</v>
      </c>
      <c r="AF45" s="48" t="s">
        <v>37</v>
      </c>
      <c r="AK45" s="42">
        <v>44746</v>
      </c>
    </row>
    <row r="46" spans="1:38" hidden="1" x14ac:dyDescent="0.25">
      <c r="A46" s="47" t="s">
        <v>10</v>
      </c>
      <c r="B46" s="47" t="s">
        <v>116</v>
      </c>
      <c r="C46" s="15">
        <v>2024</v>
      </c>
      <c r="D46" s="15">
        <v>1</v>
      </c>
      <c r="E46" s="13" t="s">
        <v>50</v>
      </c>
      <c r="F46" s="13">
        <v>2</v>
      </c>
      <c r="G46" s="14">
        <f t="shared" si="3"/>
        <v>7</v>
      </c>
      <c r="H46" s="19">
        <v>2</v>
      </c>
      <c r="I46" s="19">
        <v>5</v>
      </c>
      <c r="J46" s="24">
        <f>H46/G46</f>
        <v>0.2857142857142857</v>
      </c>
      <c r="K46" s="14">
        <v>0.25</v>
      </c>
      <c r="L46" s="19">
        <f t="shared" si="4"/>
        <v>7</v>
      </c>
      <c r="M46" s="19">
        <f>AVERAGE(X46:Z46)</f>
        <v>15.333333333333334</v>
      </c>
      <c r="O46" s="19">
        <v>99</v>
      </c>
      <c r="P46" s="19">
        <v>0</v>
      </c>
      <c r="Q46" s="19">
        <v>1</v>
      </c>
      <c r="W46" s="14">
        <v>19</v>
      </c>
      <c r="X46" s="14">
        <v>18</v>
      </c>
      <c r="Y46" s="14">
        <v>11</v>
      </c>
      <c r="Z46" s="14">
        <v>17</v>
      </c>
    </row>
    <row r="47" spans="1:38" hidden="1" x14ac:dyDescent="0.25">
      <c r="A47" s="20" t="s">
        <v>10</v>
      </c>
      <c r="B47" s="27" t="s">
        <v>119</v>
      </c>
      <c r="C47" s="12">
        <v>2020</v>
      </c>
      <c r="D47" s="12">
        <v>1</v>
      </c>
      <c r="E47" s="13" t="s">
        <v>50</v>
      </c>
      <c r="F47" s="13">
        <v>2.5</v>
      </c>
      <c r="G47" s="5">
        <f t="shared" si="3"/>
        <v>0</v>
      </c>
      <c r="H47" s="20">
        <v>0</v>
      </c>
      <c r="I47" s="20">
        <v>0</v>
      </c>
      <c r="J47" s="20" t="s">
        <v>37</v>
      </c>
      <c r="K47" s="30">
        <v>0.25</v>
      </c>
      <c r="L47" s="27">
        <f t="shared" si="4"/>
        <v>0</v>
      </c>
      <c r="M47" s="27">
        <v>4.75</v>
      </c>
      <c r="N47" s="27"/>
      <c r="O47" s="20">
        <v>65</v>
      </c>
      <c r="P47" s="20">
        <v>3</v>
      </c>
      <c r="Q47" s="20"/>
      <c r="R47" s="27"/>
      <c r="S47" s="27"/>
      <c r="T47" s="30"/>
      <c r="U47" s="30"/>
      <c r="V47" s="30"/>
      <c r="W47" s="30"/>
      <c r="X47" s="30"/>
      <c r="Y47" s="30"/>
      <c r="Z47" s="30"/>
      <c r="AA47" s="30"/>
      <c r="AB47" s="30"/>
      <c r="AC47" s="5"/>
      <c r="AD47" s="5" t="s">
        <v>118</v>
      </c>
      <c r="AE47" s="5" t="s">
        <v>37</v>
      </c>
      <c r="AF47" s="30" t="s">
        <v>37</v>
      </c>
      <c r="AG47" s="30"/>
      <c r="AH47" s="30">
        <v>1</v>
      </c>
      <c r="AI47" s="30">
        <v>1</v>
      </c>
      <c r="AJ47" s="30">
        <v>1</v>
      </c>
      <c r="AK47" s="30"/>
      <c r="AL47" s="5" t="s">
        <v>103</v>
      </c>
    </row>
    <row r="48" spans="1:38" hidden="1" x14ac:dyDescent="0.25">
      <c r="A48" s="20" t="s">
        <v>10</v>
      </c>
      <c r="B48" s="27" t="s">
        <v>119</v>
      </c>
      <c r="C48" s="34">
        <v>2021</v>
      </c>
      <c r="D48" s="34">
        <v>1</v>
      </c>
      <c r="E48" s="13" t="s">
        <v>50</v>
      </c>
      <c r="F48" s="13">
        <v>2.5</v>
      </c>
      <c r="G48" s="30">
        <f t="shared" si="3"/>
        <v>0</v>
      </c>
      <c r="H48" s="27">
        <v>0</v>
      </c>
      <c r="I48" s="27">
        <v>0</v>
      </c>
      <c r="J48" s="24" t="s">
        <v>37</v>
      </c>
      <c r="K48" s="30">
        <v>0.25</v>
      </c>
      <c r="L48" s="27">
        <f t="shared" si="4"/>
        <v>0</v>
      </c>
      <c r="M48" s="27">
        <f>AVERAGE(W48:Z48)</f>
        <v>5</v>
      </c>
      <c r="N48" s="27"/>
      <c r="O48" s="27">
        <v>95</v>
      </c>
      <c r="P48" s="27">
        <v>10</v>
      </c>
      <c r="Q48" s="27">
        <v>7</v>
      </c>
      <c r="R48" s="27">
        <v>0</v>
      </c>
      <c r="S48" s="27"/>
      <c r="T48" s="30"/>
      <c r="U48" s="30"/>
      <c r="V48" s="30"/>
      <c r="W48" s="30">
        <v>7</v>
      </c>
      <c r="X48" s="30">
        <v>6</v>
      </c>
      <c r="Y48" s="30">
        <v>3</v>
      </c>
      <c r="Z48" s="30">
        <v>4</v>
      </c>
      <c r="AA48" s="30"/>
      <c r="AB48" s="30"/>
      <c r="AC48" s="5"/>
      <c r="AD48" s="5" t="s">
        <v>118</v>
      </c>
      <c r="AE48" s="30" t="s">
        <v>37</v>
      </c>
      <c r="AF48" s="30" t="s">
        <v>37</v>
      </c>
      <c r="AG48" s="30" t="s">
        <v>37</v>
      </c>
      <c r="AH48" s="30">
        <v>1</v>
      </c>
      <c r="AI48" s="30">
        <v>1</v>
      </c>
      <c r="AJ48" s="30">
        <v>1</v>
      </c>
      <c r="AK48" s="32">
        <v>44378</v>
      </c>
      <c r="AL48" s="30"/>
    </row>
    <row r="49" spans="1:38" hidden="1" x14ac:dyDescent="0.25">
      <c r="A49" s="47" t="s">
        <v>10</v>
      </c>
      <c r="B49" s="47" t="s">
        <v>119</v>
      </c>
      <c r="C49" s="15">
        <v>2022</v>
      </c>
      <c r="D49" s="15">
        <v>1</v>
      </c>
      <c r="E49" s="13" t="s">
        <v>50</v>
      </c>
      <c r="F49" s="13">
        <v>2.5</v>
      </c>
      <c r="G49" s="14">
        <f t="shared" si="3"/>
        <v>0</v>
      </c>
      <c r="H49" s="19">
        <v>0</v>
      </c>
      <c r="I49" s="19">
        <v>0</v>
      </c>
      <c r="J49" s="24" t="s">
        <v>37</v>
      </c>
      <c r="K49" s="14">
        <v>0.25</v>
      </c>
      <c r="L49" s="19">
        <f t="shared" si="4"/>
        <v>0</v>
      </c>
      <c r="M49" s="19">
        <f>AVERAGE(W49:Z49)</f>
        <v>8.5</v>
      </c>
      <c r="O49" s="19">
        <v>98</v>
      </c>
      <c r="P49" s="19">
        <v>3</v>
      </c>
      <c r="Q49" s="19">
        <v>3</v>
      </c>
      <c r="R49" s="19">
        <v>0</v>
      </c>
      <c r="S49" s="47" t="s">
        <v>37</v>
      </c>
      <c r="T49" s="48" t="s">
        <v>37</v>
      </c>
      <c r="U49" s="14">
        <v>0</v>
      </c>
      <c r="W49" s="14">
        <v>9</v>
      </c>
      <c r="X49" s="14">
        <v>6</v>
      </c>
      <c r="Y49" s="14">
        <v>12</v>
      </c>
      <c r="Z49" s="14">
        <v>7</v>
      </c>
      <c r="AF49" s="48" t="s">
        <v>37</v>
      </c>
      <c r="AK49" s="42">
        <v>44746</v>
      </c>
    </row>
    <row r="50" spans="1:38" hidden="1" x14ac:dyDescent="0.25">
      <c r="A50" s="47" t="s">
        <v>10</v>
      </c>
      <c r="B50" s="47" t="s">
        <v>119</v>
      </c>
      <c r="C50" s="15">
        <v>2023</v>
      </c>
      <c r="D50" s="15">
        <v>1</v>
      </c>
      <c r="E50" s="13" t="s">
        <v>50</v>
      </c>
      <c r="F50" s="13">
        <v>2.5</v>
      </c>
      <c r="G50" s="14">
        <f t="shared" si="3"/>
        <v>0</v>
      </c>
      <c r="H50" s="19">
        <v>0</v>
      </c>
      <c r="I50" s="19">
        <v>0</v>
      </c>
      <c r="J50" s="24" t="s">
        <v>37</v>
      </c>
      <c r="K50" s="14">
        <v>0.25</v>
      </c>
      <c r="L50" s="19">
        <f t="shared" si="4"/>
        <v>0</v>
      </c>
      <c r="M50" s="19">
        <f>AVERAGE(W50:Z50)</f>
        <v>8</v>
      </c>
      <c r="N50" s="19">
        <f>AVERAGE(AA50:AB50)</f>
        <v>14.75</v>
      </c>
      <c r="O50" s="19">
        <v>95</v>
      </c>
      <c r="P50" s="19">
        <v>1</v>
      </c>
      <c r="Q50" s="19">
        <v>6</v>
      </c>
      <c r="R50" s="19">
        <v>0</v>
      </c>
      <c r="S50" s="59" t="s">
        <v>37</v>
      </c>
      <c r="T50" s="57" t="s">
        <v>506</v>
      </c>
      <c r="U50" s="14">
        <v>2</v>
      </c>
      <c r="W50" s="14">
        <v>3</v>
      </c>
      <c r="X50" s="14">
        <v>8</v>
      </c>
      <c r="Y50" s="14">
        <v>9</v>
      </c>
      <c r="Z50" s="14">
        <v>12</v>
      </c>
      <c r="AA50" s="14">
        <v>22</v>
      </c>
      <c r="AB50" s="14">
        <v>7.5</v>
      </c>
      <c r="AF50" s="48" t="s">
        <v>37</v>
      </c>
      <c r="AK50" s="42">
        <v>44746</v>
      </c>
    </row>
    <row r="51" spans="1:38" hidden="1" x14ac:dyDescent="0.25">
      <c r="A51" s="47" t="s">
        <v>10</v>
      </c>
      <c r="B51" s="47" t="s">
        <v>119</v>
      </c>
      <c r="C51" s="15">
        <v>2024</v>
      </c>
      <c r="D51" s="15">
        <v>1</v>
      </c>
      <c r="E51" s="13" t="s">
        <v>50</v>
      </c>
      <c r="F51" s="13">
        <v>2.5</v>
      </c>
      <c r="G51" s="14">
        <f t="shared" si="3"/>
        <v>0</v>
      </c>
      <c r="H51" s="19">
        <v>0</v>
      </c>
      <c r="I51" s="19">
        <v>0</v>
      </c>
      <c r="J51" s="24" t="s">
        <v>37</v>
      </c>
      <c r="K51" s="14">
        <v>0.25</v>
      </c>
      <c r="L51" s="19">
        <f t="shared" si="4"/>
        <v>0</v>
      </c>
      <c r="M51" s="19">
        <f>AVERAGE(X51:Z51)</f>
        <v>12</v>
      </c>
      <c r="O51" s="19">
        <v>99</v>
      </c>
      <c r="P51" s="19">
        <v>1</v>
      </c>
      <c r="Q51" s="19">
        <v>1</v>
      </c>
      <c r="W51" s="14">
        <v>20</v>
      </c>
      <c r="X51" s="14">
        <v>10</v>
      </c>
      <c r="Y51" s="14">
        <v>8</v>
      </c>
      <c r="Z51" s="14">
        <v>18</v>
      </c>
    </row>
    <row r="52" spans="1:38" hidden="1" x14ac:dyDescent="0.25">
      <c r="A52" s="21" t="s">
        <v>19</v>
      </c>
      <c r="B52" s="22" t="s">
        <v>123</v>
      </c>
      <c r="C52" s="3">
        <v>2014</v>
      </c>
      <c r="D52" s="3">
        <v>1</v>
      </c>
      <c r="E52" s="3" t="s">
        <v>37</v>
      </c>
      <c r="F52" s="3" t="s">
        <v>37</v>
      </c>
      <c r="G52" s="2">
        <v>11</v>
      </c>
      <c r="H52" s="21">
        <v>4</v>
      </c>
      <c r="I52" s="21">
        <f>G52-H52</f>
        <v>7</v>
      </c>
      <c r="J52" s="24">
        <f>H52/G52</f>
        <v>0.36363636363636365</v>
      </c>
      <c r="K52" s="2">
        <v>0.25</v>
      </c>
      <c r="L52" s="27">
        <f t="shared" si="4"/>
        <v>11</v>
      </c>
      <c r="M52" s="27">
        <v>10</v>
      </c>
      <c r="N52" s="27"/>
      <c r="O52" s="27">
        <v>100</v>
      </c>
      <c r="P52" s="27"/>
      <c r="Q52" s="27"/>
      <c r="R52" s="27"/>
      <c r="S52" s="27"/>
      <c r="T52" s="30"/>
      <c r="U52" s="30"/>
      <c r="V52" s="30"/>
      <c r="W52" s="30"/>
      <c r="X52" s="30"/>
      <c r="Y52" s="30"/>
      <c r="Z52" s="30"/>
      <c r="AA52" s="30"/>
      <c r="AB52" s="30"/>
      <c r="AC52" s="2"/>
      <c r="AD52" s="3" t="s">
        <v>122</v>
      </c>
      <c r="AE52" s="3">
        <v>1</v>
      </c>
      <c r="AF52" s="2">
        <v>1371.1818181818182</v>
      </c>
      <c r="AG52" s="30">
        <v>37.9</v>
      </c>
      <c r="AH52" s="30">
        <v>1</v>
      </c>
      <c r="AI52" s="30">
        <v>2</v>
      </c>
      <c r="AJ52" s="30">
        <v>0</v>
      </c>
      <c r="AK52" s="30"/>
      <c r="AL52" s="30"/>
    </row>
    <row r="53" spans="1:38" hidden="1" x14ac:dyDescent="0.25">
      <c r="A53" s="21" t="s">
        <v>19</v>
      </c>
      <c r="B53" s="22" t="s">
        <v>123</v>
      </c>
      <c r="C53" s="3">
        <v>2015</v>
      </c>
      <c r="D53" s="3">
        <v>1</v>
      </c>
      <c r="E53" s="3" t="s">
        <v>37</v>
      </c>
      <c r="F53" s="3" t="s">
        <v>37</v>
      </c>
      <c r="G53" s="2">
        <v>11</v>
      </c>
      <c r="H53" s="21">
        <v>5</v>
      </c>
      <c r="I53" s="21">
        <f>G53-H53</f>
        <v>6</v>
      </c>
      <c r="J53" s="24">
        <f>H53/G53</f>
        <v>0.45454545454545453</v>
      </c>
      <c r="K53" s="2">
        <v>0.25</v>
      </c>
      <c r="L53" s="27">
        <f t="shared" si="4"/>
        <v>11</v>
      </c>
      <c r="M53" s="27" t="s">
        <v>37</v>
      </c>
      <c r="N53" s="27"/>
      <c r="O53" s="27" t="s">
        <v>37</v>
      </c>
      <c r="P53" s="27"/>
      <c r="Q53" s="27"/>
      <c r="R53" s="27"/>
      <c r="S53" s="27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" t="s">
        <v>122</v>
      </c>
      <c r="AE53" s="3">
        <v>1.7272727272727273</v>
      </c>
      <c r="AF53" s="2">
        <v>1477.5454545454545</v>
      </c>
      <c r="AG53" s="30" t="s">
        <v>37</v>
      </c>
      <c r="AH53" s="30">
        <v>1</v>
      </c>
      <c r="AI53" s="30">
        <v>2</v>
      </c>
      <c r="AJ53" s="30">
        <v>0</v>
      </c>
      <c r="AK53" s="30"/>
      <c r="AL53" s="30"/>
    </row>
    <row r="54" spans="1:38" hidden="1" x14ac:dyDescent="0.25">
      <c r="A54" s="21" t="s">
        <v>19</v>
      </c>
      <c r="B54" s="22" t="s">
        <v>123</v>
      </c>
      <c r="C54" s="3">
        <v>2016</v>
      </c>
      <c r="D54" s="3">
        <v>1</v>
      </c>
      <c r="E54" s="3" t="s">
        <v>37</v>
      </c>
      <c r="F54" s="3" t="s">
        <v>37</v>
      </c>
      <c r="G54" s="25">
        <v>19</v>
      </c>
      <c r="H54" s="23">
        <v>4</v>
      </c>
      <c r="I54" s="21">
        <f>G54-H54</f>
        <v>15</v>
      </c>
      <c r="J54" s="24">
        <f>H54/G54</f>
        <v>0.21052631578947367</v>
      </c>
      <c r="K54" s="2">
        <v>0.25</v>
      </c>
      <c r="L54" s="27">
        <f t="shared" si="4"/>
        <v>19</v>
      </c>
      <c r="M54" s="27">
        <v>8.75</v>
      </c>
      <c r="N54" s="27"/>
      <c r="O54" s="27">
        <v>100</v>
      </c>
      <c r="P54" s="27"/>
      <c r="Q54" s="27"/>
      <c r="R54" s="27"/>
      <c r="S54" s="27"/>
      <c r="T54" s="30"/>
      <c r="U54" s="30"/>
      <c r="V54" s="30"/>
      <c r="W54" s="30"/>
      <c r="X54" s="30"/>
      <c r="Y54" s="30"/>
      <c r="Z54" s="30"/>
      <c r="AA54" s="30"/>
      <c r="AB54" s="30"/>
      <c r="AC54" s="2"/>
      <c r="AD54" s="3" t="s">
        <v>122</v>
      </c>
      <c r="AE54" s="3">
        <v>0.21052631578947367</v>
      </c>
      <c r="AF54" s="2">
        <v>1723.2105260000001</v>
      </c>
      <c r="AG54" s="30">
        <v>49.3</v>
      </c>
      <c r="AH54" s="30">
        <v>1</v>
      </c>
      <c r="AI54" s="30">
        <v>2</v>
      </c>
      <c r="AJ54" s="30">
        <v>0</v>
      </c>
      <c r="AK54" s="30"/>
      <c r="AL54" s="30"/>
    </row>
    <row r="55" spans="1:38" hidden="1" x14ac:dyDescent="0.25">
      <c r="A55" s="21" t="s">
        <v>19</v>
      </c>
      <c r="B55" s="22" t="s">
        <v>123</v>
      </c>
      <c r="C55" s="3">
        <v>2017</v>
      </c>
      <c r="D55" s="3">
        <v>1</v>
      </c>
      <c r="E55" s="3" t="s">
        <v>37</v>
      </c>
      <c r="F55" s="3" t="s">
        <v>37</v>
      </c>
      <c r="G55" s="25">
        <v>4</v>
      </c>
      <c r="H55" s="23">
        <v>0</v>
      </c>
      <c r="I55" s="21">
        <f>G55-H55</f>
        <v>4</v>
      </c>
      <c r="J55" s="24">
        <f>H55/G55</f>
        <v>0</v>
      </c>
      <c r="K55" s="2">
        <v>0.25</v>
      </c>
      <c r="L55" s="27">
        <f t="shared" si="4"/>
        <v>4</v>
      </c>
      <c r="M55" s="27">
        <v>6</v>
      </c>
      <c r="N55" s="27"/>
      <c r="O55" s="27">
        <v>95</v>
      </c>
      <c r="P55" s="27"/>
      <c r="Q55" s="27"/>
      <c r="R55" s="27"/>
      <c r="S55" s="27"/>
      <c r="T55" s="30"/>
      <c r="U55" s="30"/>
      <c r="V55" s="30"/>
      <c r="W55" s="30"/>
      <c r="X55" s="30"/>
      <c r="Y55" s="30"/>
      <c r="Z55" s="30"/>
      <c r="AA55" s="30"/>
      <c r="AB55" s="30"/>
      <c r="AC55" s="2"/>
      <c r="AD55" s="3" t="s">
        <v>122</v>
      </c>
      <c r="AE55" s="3">
        <v>0.5</v>
      </c>
      <c r="AF55" s="2">
        <v>1141</v>
      </c>
      <c r="AG55" s="30">
        <v>45.125</v>
      </c>
      <c r="AH55" s="30">
        <v>1</v>
      </c>
      <c r="AI55" s="30">
        <v>2</v>
      </c>
      <c r="AJ55" s="30">
        <v>0</v>
      </c>
      <c r="AK55" s="30"/>
      <c r="AL55" s="30"/>
    </row>
    <row r="56" spans="1:38" hidden="1" x14ac:dyDescent="0.25">
      <c r="A56" s="21" t="s">
        <v>19</v>
      </c>
      <c r="B56" s="22" t="s">
        <v>123</v>
      </c>
      <c r="C56" s="3">
        <v>2018</v>
      </c>
      <c r="D56" s="3">
        <v>1</v>
      </c>
      <c r="E56" s="3" t="s">
        <v>37</v>
      </c>
      <c r="F56" s="3" t="s">
        <v>37</v>
      </c>
      <c r="G56" s="30" t="s">
        <v>37</v>
      </c>
      <c r="H56" s="27" t="s">
        <v>37</v>
      </c>
      <c r="I56" s="27" t="s">
        <v>37</v>
      </c>
      <c r="J56" s="27" t="s">
        <v>37</v>
      </c>
      <c r="K56" s="2" t="s">
        <v>37</v>
      </c>
      <c r="L56" s="24" t="s">
        <v>37</v>
      </c>
      <c r="M56" s="27" t="s">
        <v>37</v>
      </c>
      <c r="N56" s="27"/>
      <c r="O56" s="27" t="s">
        <v>37</v>
      </c>
      <c r="P56" s="27"/>
      <c r="Q56" s="27"/>
      <c r="R56" s="27"/>
      <c r="S56" s="27"/>
      <c r="T56" s="30"/>
      <c r="U56" s="30"/>
      <c r="V56" s="30"/>
      <c r="W56" s="30"/>
      <c r="X56" s="30"/>
      <c r="Y56" s="30"/>
      <c r="Z56" s="30"/>
      <c r="AA56" s="30"/>
      <c r="AB56" s="30"/>
      <c r="AC56" s="2"/>
      <c r="AD56" s="3" t="s">
        <v>122</v>
      </c>
      <c r="AE56" s="3" t="s">
        <v>37</v>
      </c>
      <c r="AF56" s="30" t="s">
        <v>37</v>
      </c>
      <c r="AG56" s="30" t="s">
        <v>37</v>
      </c>
      <c r="AH56" s="30">
        <v>1</v>
      </c>
      <c r="AI56" s="30">
        <v>2</v>
      </c>
      <c r="AJ56" s="30">
        <v>0</v>
      </c>
      <c r="AK56" s="30"/>
      <c r="AL56" s="30"/>
    </row>
    <row r="57" spans="1:38" hidden="1" x14ac:dyDescent="0.25">
      <c r="A57" s="21" t="s">
        <v>19</v>
      </c>
      <c r="B57" s="22" t="s">
        <v>123</v>
      </c>
      <c r="C57" s="3">
        <v>2019</v>
      </c>
      <c r="D57" s="3">
        <v>1</v>
      </c>
      <c r="E57" s="3" t="s">
        <v>37</v>
      </c>
      <c r="F57" s="3" t="s">
        <v>37</v>
      </c>
      <c r="G57" s="30">
        <f t="shared" ref="G57:G90" si="5">SUM(H57:I57)</f>
        <v>2</v>
      </c>
      <c r="H57" s="27">
        <v>1</v>
      </c>
      <c r="I57" s="21">
        <v>1</v>
      </c>
      <c r="J57" s="24">
        <f t="shared" ref="J57:J62" si="6">H57/G57</f>
        <v>0.5</v>
      </c>
      <c r="K57" s="30">
        <v>0.25</v>
      </c>
      <c r="L57" s="27">
        <f t="shared" ref="L57:L94" si="7">G57/(K57/0.25)</f>
        <v>2</v>
      </c>
      <c r="M57" s="27">
        <v>14</v>
      </c>
      <c r="N57" s="27"/>
      <c r="O57" s="27">
        <v>45</v>
      </c>
      <c r="P57" s="27">
        <v>4</v>
      </c>
      <c r="Q57" s="27"/>
      <c r="R57" s="27"/>
      <c r="S57" s="27"/>
      <c r="T57" s="30"/>
      <c r="U57" s="30"/>
      <c r="V57" s="30"/>
      <c r="W57" s="30"/>
      <c r="X57" s="30"/>
      <c r="Y57" s="30"/>
      <c r="Z57" s="30"/>
      <c r="AA57" s="30"/>
      <c r="AB57" s="30"/>
      <c r="AC57" s="2"/>
      <c r="AD57" s="3" t="s">
        <v>122</v>
      </c>
      <c r="AE57" s="3">
        <v>2.5</v>
      </c>
      <c r="AF57" s="30" t="s">
        <v>37</v>
      </c>
      <c r="AG57" s="30" t="s">
        <v>37</v>
      </c>
      <c r="AH57" s="30">
        <v>1</v>
      </c>
      <c r="AI57" s="30">
        <v>2</v>
      </c>
      <c r="AJ57" s="30">
        <v>0</v>
      </c>
      <c r="AK57" s="32">
        <v>43642</v>
      </c>
      <c r="AL57" s="30">
        <v>8</v>
      </c>
    </row>
    <row r="58" spans="1:38" hidden="1" x14ac:dyDescent="0.25">
      <c r="A58" s="21" t="s">
        <v>19</v>
      </c>
      <c r="B58" s="22" t="s">
        <v>123</v>
      </c>
      <c r="C58" s="3">
        <v>2020</v>
      </c>
      <c r="D58" s="3">
        <v>1</v>
      </c>
      <c r="E58" s="3" t="s">
        <v>37</v>
      </c>
      <c r="F58" s="3" t="s">
        <v>37</v>
      </c>
      <c r="G58" s="30">
        <f t="shared" si="5"/>
        <v>5</v>
      </c>
      <c r="H58" s="27">
        <v>0</v>
      </c>
      <c r="I58" s="21">
        <v>5</v>
      </c>
      <c r="J58" s="24">
        <f t="shared" si="6"/>
        <v>0</v>
      </c>
      <c r="K58" s="30">
        <v>0.25</v>
      </c>
      <c r="L58" s="27">
        <f t="shared" si="7"/>
        <v>5</v>
      </c>
      <c r="M58" s="27">
        <v>12.5</v>
      </c>
      <c r="N58" s="27"/>
      <c r="O58" s="27">
        <v>90</v>
      </c>
      <c r="P58" s="27">
        <v>0</v>
      </c>
      <c r="Q58" s="27"/>
      <c r="R58" s="27"/>
      <c r="S58" s="27"/>
      <c r="T58" s="30"/>
      <c r="U58" s="30"/>
      <c r="V58" s="30"/>
      <c r="W58" s="30"/>
      <c r="X58" s="30"/>
      <c r="Y58" s="30"/>
      <c r="Z58" s="30"/>
      <c r="AA58" s="30"/>
      <c r="AB58" s="30"/>
      <c r="AC58" s="2"/>
      <c r="AD58" s="3" t="s">
        <v>122</v>
      </c>
      <c r="AE58" s="30" t="s">
        <v>37</v>
      </c>
      <c r="AF58" s="30" t="s">
        <v>37</v>
      </c>
      <c r="AG58" s="30"/>
      <c r="AH58" s="30">
        <v>1</v>
      </c>
      <c r="AI58" s="30">
        <v>2</v>
      </c>
      <c r="AJ58" s="30">
        <v>0</v>
      </c>
      <c r="AK58" s="32">
        <v>43991</v>
      </c>
      <c r="AL58" s="30"/>
    </row>
    <row r="59" spans="1:38" hidden="1" x14ac:dyDescent="0.25">
      <c r="A59" s="27" t="s">
        <v>19</v>
      </c>
      <c r="B59" s="22" t="s">
        <v>123</v>
      </c>
      <c r="C59" s="34">
        <v>2021</v>
      </c>
      <c r="D59" s="34">
        <v>1</v>
      </c>
      <c r="E59" s="30" t="s">
        <v>124</v>
      </c>
      <c r="F59" s="30">
        <v>5</v>
      </c>
      <c r="G59" s="30">
        <f t="shared" si="5"/>
        <v>6</v>
      </c>
      <c r="H59" s="27">
        <v>2</v>
      </c>
      <c r="I59" s="27">
        <v>4</v>
      </c>
      <c r="J59" s="24">
        <f t="shared" si="6"/>
        <v>0.33333333333333331</v>
      </c>
      <c r="K59" s="30">
        <v>0.25</v>
      </c>
      <c r="L59" s="27">
        <f t="shared" si="7"/>
        <v>6</v>
      </c>
      <c r="M59" s="27">
        <f>AVERAGE(W59:Z59)</f>
        <v>19.25</v>
      </c>
      <c r="N59" s="27"/>
      <c r="O59" s="27">
        <v>95</v>
      </c>
      <c r="P59" s="27">
        <v>3</v>
      </c>
      <c r="Q59" s="27">
        <v>2</v>
      </c>
      <c r="R59" s="27">
        <v>4</v>
      </c>
      <c r="S59" s="27" t="s">
        <v>102</v>
      </c>
      <c r="T59" s="30"/>
      <c r="U59" s="30"/>
      <c r="V59" s="30"/>
      <c r="W59" s="30">
        <v>18</v>
      </c>
      <c r="X59" s="30">
        <v>13</v>
      </c>
      <c r="Y59" s="30">
        <v>22</v>
      </c>
      <c r="Z59" s="30">
        <v>24</v>
      </c>
      <c r="AA59" s="30"/>
      <c r="AB59" s="30"/>
      <c r="AC59" s="2"/>
      <c r="AD59" s="30" t="s">
        <v>122</v>
      </c>
      <c r="AE59" s="30" t="s">
        <v>37</v>
      </c>
      <c r="AF59" s="30" t="s">
        <v>37</v>
      </c>
      <c r="AG59" s="30" t="s">
        <v>37</v>
      </c>
      <c r="AH59" s="30">
        <v>1</v>
      </c>
      <c r="AI59" s="30">
        <v>2</v>
      </c>
      <c r="AJ59" s="30">
        <v>0</v>
      </c>
      <c r="AK59" s="32">
        <v>44379</v>
      </c>
      <c r="AL59" s="30"/>
    </row>
    <row r="60" spans="1:38" hidden="1" x14ac:dyDescent="0.25">
      <c r="A60" s="47" t="s">
        <v>19</v>
      </c>
      <c r="B60" s="47" t="s">
        <v>123</v>
      </c>
      <c r="C60" s="15">
        <v>2022</v>
      </c>
      <c r="D60" s="15">
        <v>1</v>
      </c>
      <c r="G60" s="14">
        <f t="shared" si="5"/>
        <v>7</v>
      </c>
      <c r="H60" s="19">
        <v>6</v>
      </c>
      <c r="I60" s="19">
        <v>1</v>
      </c>
      <c r="J60" s="24">
        <f t="shared" si="6"/>
        <v>0.8571428571428571</v>
      </c>
      <c r="K60" s="14">
        <v>0.25</v>
      </c>
      <c r="L60" s="19">
        <f t="shared" si="7"/>
        <v>7</v>
      </c>
      <c r="M60" s="19">
        <f>AVERAGE(W60:Z60)</f>
        <v>27.25</v>
      </c>
      <c r="O60" s="19">
        <v>100</v>
      </c>
      <c r="P60" s="19">
        <v>1</v>
      </c>
      <c r="Q60" s="19">
        <v>25</v>
      </c>
      <c r="R60" s="19">
        <v>2</v>
      </c>
      <c r="S60" s="47" t="s">
        <v>541</v>
      </c>
      <c r="T60" s="48" t="s">
        <v>37</v>
      </c>
      <c r="U60" s="14">
        <v>0</v>
      </c>
      <c r="W60" s="14">
        <v>28</v>
      </c>
      <c r="X60" s="14">
        <v>26</v>
      </c>
      <c r="Y60" s="14">
        <v>24</v>
      </c>
      <c r="Z60" s="14">
        <v>31</v>
      </c>
      <c r="AF60" s="48" t="s">
        <v>37</v>
      </c>
      <c r="AK60" s="42">
        <v>44746</v>
      </c>
    </row>
    <row r="61" spans="1:38" hidden="1" x14ac:dyDescent="0.25">
      <c r="A61" s="47" t="s">
        <v>19</v>
      </c>
      <c r="B61" s="47" t="s">
        <v>123</v>
      </c>
      <c r="C61" s="15">
        <v>2023</v>
      </c>
      <c r="D61" s="15">
        <v>1</v>
      </c>
      <c r="G61" s="14">
        <f t="shared" si="5"/>
        <v>11</v>
      </c>
      <c r="H61" s="19">
        <v>4</v>
      </c>
      <c r="I61" s="19">
        <v>7</v>
      </c>
      <c r="J61" s="24">
        <f t="shared" si="6"/>
        <v>0.36363636363636365</v>
      </c>
      <c r="K61" s="14">
        <v>0.25</v>
      </c>
      <c r="L61" s="19">
        <f t="shared" si="7"/>
        <v>11</v>
      </c>
      <c r="M61" s="19">
        <f>AVERAGE(W61:Z61)</f>
        <v>21.5</v>
      </c>
      <c r="N61" s="19">
        <f>AVERAGE(AA61:AB61)</f>
        <v>18.75</v>
      </c>
      <c r="O61" s="19">
        <v>100</v>
      </c>
      <c r="P61" s="19">
        <v>0</v>
      </c>
      <c r="Q61" s="19">
        <v>0.1</v>
      </c>
      <c r="R61" s="19">
        <v>12</v>
      </c>
      <c r="S61" s="56" t="s">
        <v>541</v>
      </c>
      <c r="T61" s="55" t="s">
        <v>581</v>
      </c>
      <c r="U61" s="14">
        <v>34</v>
      </c>
      <c r="V61" s="55" t="s">
        <v>584</v>
      </c>
      <c r="W61" s="14">
        <v>19</v>
      </c>
      <c r="X61" s="14">
        <v>28</v>
      </c>
      <c r="Y61" s="14">
        <v>21</v>
      </c>
      <c r="Z61" s="14">
        <v>18</v>
      </c>
      <c r="AA61" s="14">
        <v>18</v>
      </c>
      <c r="AB61" s="14">
        <v>19.5</v>
      </c>
      <c r="AF61" s="48" t="s">
        <v>37</v>
      </c>
      <c r="AK61" s="42">
        <v>45110</v>
      </c>
    </row>
    <row r="62" spans="1:38" hidden="1" x14ac:dyDescent="0.25">
      <c r="A62" s="47" t="s">
        <v>19</v>
      </c>
      <c r="B62" s="47" t="s">
        <v>123</v>
      </c>
      <c r="C62" s="15">
        <v>2024</v>
      </c>
      <c r="D62" s="15">
        <v>1</v>
      </c>
      <c r="E62" s="64" t="s">
        <v>37</v>
      </c>
      <c r="F62" s="64" t="s">
        <v>37</v>
      </c>
      <c r="G62" s="14">
        <f t="shared" si="5"/>
        <v>11</v>
      </c>
      <c r="H62" s="19">
        <v>0</v>
      </c>
      <c r="I62" s="19">
        <v>11</v>
      </c>
      <c r="J62" s="24">
        <f t="shared" si="6"/>
        <v>0</v>
      </c>
      <c r="K62" s="14">
        <v>0.25</v>
      </c>
      <c r="L62" s="19">
        <f t="shared" si="7"/>
        <v>11</v>
      </c>
      <c r="M62" s="19">
        <f>AVERAGE(X62:Z62)</f>
        <v>25.666666666666668</v>
      </c>
      <c r="O62" s="19">
        <v>99</v>
      </c>
      <c r="P62" s="19">
        <v>3</v>
      </c>
      <c r="Q62" s="19">
        <v>1</v>
      </c>
      <c r="W62" s="14">
        <v>18</v>
      </c>
      <c r="X62" s="14">
        <v>19</v>
      </c>
      <c r="Y62" s="14">
        <v>27</v>
      </c>
      <c r="Z62" s="14">
        <v>31</v>
      </c>
    </row>
    <row r="63" spans="1:38" x14ac:dyDescent="0.25">
      <c r="A63" s="27" t="s">
        <v>19</v>
      </c>
      <c r="B63" s="27" t="s">
        <v>127</v>
      </c>
      <c r="C63" s="34">
        <v>2021</v>
      </c>
      <c r="D63" s="34">
        <v>0</v>
      </c>
      <c r="E63" s="30" t="s">
        <v>124</v>
      </c>
      <c r="F63" s="30">
        <v>15</v>
      </c>
      <c r="G63" s="30">
        <f t="shared" si="5"/>
        <v>0</v>
      </c>
      <c r="H63" s="27">
        <v>0</v>
      </c>
      <c r="I63" s="27">
        <v>0</v>
      </c>
      <c r="J63" s="24" t="s">
        <v>37</v>
      </c>
      <c r="K63" s="30">
        <v>0.25</v>
      </c>
      <c r="L63" s="27">
        <f t="shared" si="7"/>
        <v>0</v>
      </c>
      <c r="M63" s="27">
        <f>AVERAGE(W63:Z63)</f>
        <v>11</v>
      </c>
      <c r="N63" s="27"/>
      <c r="O63" s="27">
        <v>90</v>
      </c>
      <c r="P63" s="27">
        <v>5</v>
      </c>
      <c r="Q63" s="27">
        <v>5</v>
      </c>
      <c r="R63" s="27">
        <v>0</v>
      </c>
      <c r="S63" s="27"/>
      <c r="T63" s="30"/>
      <c r="U63" s="30"/>
      <c r="V63" s="30"/>
      <c r="W63" s="30">
        <v>11</v>
      </c>
      <c r="X63" s="30">
        <v>10</v>
      </c>
      <c r="Y63" s="30">
        <v>13</v>
      </c>
      <c r="Z63" s="30">
        <v>10</v>
      </c>
      <c r="AA63" s="30"/>
      <c r="AB63" s="30"/>
      <c r="AC63" s="2"/>
      <c r="AD63" s="30" t="s">
        <v>126</v>
      </c>
      <c r="AE63" s="30" t="s">
        <v>37</v>
      </c>
      <c r="AF63" s="30" t="s">
        <v>37</v>
      </c>
      <c r="AG63" s="30" t="s">
        <v>37</v>
      </c>
      <c r="AH63" s="30">
        <v>1</v>
      </c>
      <c r="AI63" s="30">
        <v>2</v>
      </c>
      <c r="AJ63" s="30">
        <v>0</v>
      </c>
      <c r="AK63" s="32">
        <v>44379</v>
      </c>
      <c r="AL63" s="30"/>
    </row>
    <row r="64" spans="1:38" x14ac:dyDescent="0.25">
      <c r="A64" s="47" t="s">
        <v>19</v>
      </c>
      <c r="B64" s="47" t="s">
        <v>127</v>
      </c>
      <c r="C64" s="15">
        <v>2022</v>
      </c>
      <c r="D64" s="15">
        <v>0</v>
      </c>
      <c r="G64" s="14">
        <f t="shared" si="5"/>
        <v>0</v>
      </c>
      <c r="H64" s="19">
        <v>0</v>
      </c>
      <c r="I64" s="19">
        <v>0</v>
      </c>
      <c r="J64" s="24" t="s">
        <v>37</v>
      </c>
      <c r="K64" s="14">
        <v>0.25</v>
      </c>
      <c r="L64" s="19">
        <f t="shared" si="7"/>
        <v>0</v>
      </c>
      <c r="M64" s="19">
        <f>AVERAGE(W64:Z64)</f>
        <v>21</v>
      </c>
      <c r="O64" s="19">
        <v>90</v>
      </c>
      <c r="P64" s="19">
        <v>1</v>
      </c>
      <c r="Q64" s="19">
        <v>6</v>
      </c>
      <c r="R64" s="19">
        <v>0</v>
      </c>
      <c r="S64" s="47" t="s">
        <v>37</v>
      </c>
      <c r="T64" s="48" t="s">
        <v>37</v>
      </c>
      <c r="U64" s="14">
        <v>0</v>
      </c>
      <c r="V64" s="48" t="s">
        <v>546</v>
      </c>
      <c r="W64" s="14">
        <v>12</v>
      </c>
      <c r="X64" s="14">
        <v>21</v>
      </c>
      <c r="Y64" s="14">
        <v>28</v>
      </c>
      <c r="Z64" s="14">
        <v>23</v>
      </c>
      <c r="AF64" s="48" t="s">
        <v>37</v>
      </c>
      <c r="AK64" s="42">
        <v>44746</v>
      </c>
    </row>
    <row r="65" spans="1:38" x14ac:dyDescent="0.25">
      <c r="A65" s="47" t="s">
        <v>19</v>
      </c>
      <c r="B65" s="47" t="s">
        <v>127</v>
      </c>
      <c r="C65" s="15">
        <v>2023</v>
      </c>
      <c r="D65" s="15">
        <v>0</v>
      </c>
      <c r="G65" s="14">
        <f t="shared" si="5"/>
        <v>0</v>
      </c>
      <c r="H65" s="19">
        <v>0</v>
      </c>
      <c r="I65" s="19">
        <v>0</v>
      </c>
      <c r="J65" s="24" t="s">
        <v>37</v>
      </c>
      <c r="K65" s="14">
        <v>0.25</v>
      </c>
      <c r="L65" s="19">
        <f t="shared" si="7"/>
        <v>0</v>
      </c>
      <c r="M65" s="19">
        <f>AVERAGE(W65:Z65)</f>
        <v>10.25</v>
      </c>
      <c r="N65" s="19">
        <f>AVERAGE(AA65:AB65)</f>
        <v>15</v>
      </c>
      <c r="O65" s="19">
        <v>90</v>
      </c>
      <c r="P65" s="19">
        <v>1</v>
      </c>
      <c r="Q65" s="19">
        <v>10</v>
      </c>
      <c r="R65" s="19">
        <v>0</v>
      </c>
      <c r="S65" s="56" t="s">
        <v>37</v>
      </c>
      <c r="T65" s="55" t="s">
        <v>570</v>
      </c>
      <c r="U65" s="55" t="s">
        <v>571</v>
      </c>
      <c r="V65" s="55" t="s">
        <v>584</v>
      </c>
      <c r="W65" s="14">
        <v>4</v>
      </c>
      <c r="X65" s="14">
        <v>5</v>
      </c>
      <c r="Y65" s="14">
        <v>19</v>
      </c>
      <c r="Z65" s="14">
        <v>13</v>
      </c>
      <c r="AA65" s="14">
        <v>17</v>
      </c>
      <c r="AB65" s="14">
        <v>13</v>
      </c>
      <c r="AF65" s="48" t="s">
        <v>37</v>
      </c>
      <c r="AK65" s="42">
        <v>45110</v>
      </c>
    </row>
    <row r="66" spans="1:38" x14ac:dyDescent="0.25">
      <c r="A66" s="47" t="s">
        <v>19</v>
      </c>
      <c r="B66" s="47" t="s">
        <v>127</v>
      </c>
      <c r="C66" s="15">
        <v>2024</v>
      </c>
      <c r="D66" s="15">
        <v>0</v>
      </c>
      <c r="E66" s="64" t="s">
        <v>37</v>
      </c>
      <c r="F66" s="64" t="s">
        <v>37</v>
      </c>
      <c r="G66" s="14">
        <f t="shared" si="5"/>
        <v>0</v>
      </c>
      <c r="H66" s="19">
        <v>0</v>
      </c>
      <c r="I66" s="19">
        <v>0</v>
      </c>
      <c r="J66" s="24" t="s">
        <v>37</v>
      </c>
      <c r="K66" s="14">
        <v>0.25</v>
      </c>
      <c r="L66" s="19">
        <f t="shared" si="7"/>
        <v>0</v>
      </c>
      <c r="M66" s="19">
        <f>AVERAGE(X66:Z66)</f>
        <v>14.666666666666666</v>
      </c>
      <c r="O66" s="19">
        <v>90</v>
      </c>
      <c r="P66" s="19">
        <v>0</v>
      </c>
      <c r="Q66" s="19">
        <v>8</v>
      </c>
      <c r="W66" s="14">
        <v>8</v>
      </c>
      <c r="X66" s="14">
        <v>7</v>
      </c>
      <c r="Y66" s="14">
        <v>24</v>
      </c>
      <c r="Z66" s="14">
        <v>13</v>
      </c>
    </row>
    <row r="67" spans="1:38" x14ac:dyDescent="0.25">
      <c r="A67" s="27" t="s">
        <v>19</v>
      </c>
      <c r="B67" s="27" t="s">
        <v>129</v>
      </c>
      <c r="C67" s="34">
        <v>2021</v>
      </c>
      <c r="D67" s="34">
        <v>0</v>
      </c>
      <c r="E67" s="30" t="s">
        <v>124</v>
      </c>
      <c r="F67" s="30">
        <v>25</v>
      </c>
      <c r="G67" s="30">
        <f t="shared" si="5"/>
        <v>0</v>
      </c>
      <c r="H67" s="27">
        <v>0</v>
      </c>
      <c r="I67" s="27"/>
      <c r="J67" s="24" t="s">
        <v>37</v>
      </c>
      <c r="K67" s="30">
        <v>0.25</v>
      </c>
      <c r="L67" s="27">
        <f t="shared" si="7"/>
        <v>0</v>
      </c>
      <c r="M67" s="27">
        <f>AVERAGE(W67:Z67)</f>
        <v>14</v>
      </c>
      <c r="N67" s="27"/>
      <c r="O67" s="27">
        <v>80</v>
      </c>
      <c r="P67" s="27">
        <v>0</v>
      </c>
      <c r="Q67" s="27">
        <v>20</v>
      </c>
      <c r="R67" s="27">
        <v>0</v>
      </c>
      <c r="S67" s="27"/>
      <c r="T67" s="30"/>
      <c r="U67" s="30"/>
      <c r="V67" s="30"/>
      <c r="W67" s="30">
        <v>15</v>
      </c>
      <c r="X67" s="30">
        <v>11</v>
      </c>
      <c r="Y67" s="30">
        <v>13</v>
      </c>
      <c r="Z67" s="30">
        <v>17</v>
      </c>
      <c r="AA67" s="30"/>
      <c r="AB67" s="30"/>
      <c r="AC67" s="2"/>
      <c r="AD67" s="30" t="s">
        <v>128</v>
      </c>
      <c r="AE67" s="30" t="s">
        <v>37</v>
      </c>
      <c r="AF67" s="30" t="s">
        <v>37</v>
      </c>
      <c r="AG67" s="30" t="s">
        <v>37</v>
      </c>
      <c r="AH67" s="30">
        <v>1</v>
      </c>
      <c r="AI67" s="30">
        <v>2</v>
      </c>
      <c r="AJ67" s="30">
        <v>0</v>
      </c>
      <c r="AK67" s="32">
        <v>44379</v>
      </c>
      <c r="AL67" s="30"/>
    </row>
    <row r="68" spans="1:38" x14ac:dyDescent="0.25">
      <c r="A68" s="47" t="s">
        <v>19</v>
      </c>
      <c r="B68" s="47" t="s">
        <v>129</v>
      </c>
      <c r="C68" s="15">
        <v>2022</v>
      </c>
      <c r="D68" s="15">
        <v>0</v>
      </c>
      <c r="G68" s="14">
        <f t="shared" si="5"/>
        <v>0</v>
      </c>
      <c r="H68" s="19">
        <v>0</v>
      </c>
      <c r="I68" s="19">
        <v>0</v>
      </c>
      <c r="J68" s="24" t="s">
        <v>37</v>
      </c>
      <c r="K68" s="14">
        <v>0.25</v>
      </c>
      <c r="L68" s="19">
        <f t="shared" si="7"/>
        <v>0</v>
      </c>
      <c r="M68" s="19">
        <f>AVERAGE(W68:Z68)</f>
        <v>21</v>
      </c>
      <c r="O68" s="19">
        <v>90</v>
      </c>
      <c r="P68" s="19">
        <v>0</v>
      </c>
      <c r="Q68" s="19">
        <v>30</v>
      </c>
      <c r="R68" s="19">
        <v>0</v>
      </c>
      <c r="S68" s="47" t="s">
        <v>37</v>
      </c>
      <c r="T68" s="48" t="s">
        <v>37</v>
      </c>
      <c r="U68" s="14">
        <v>0</v>
      </c>
      <c r="W68" s="14">
        <v>21</v>
      </c>
      <c r="X68" s="14">
        <v>26</v>
      </c>
      <c r="Y68" s="14">
        <v>22</v>
      </c>
      <c r="Z68" s="14">
        <v>15</v>
      </c>
      <c r="AF68" s="48" t="s">
        <v>37</v>
      </c>
      <c r="AK68" s="42">
        <v>44746</v>
      </c>
    </row>
    <row r="69" spans="1:38" x14ac:dyDescent="0.25">
      <c r="A69" s="47" t="s">
        <v>19</v>
      </c>
      <c r="B69" s="47" t="s">
        <v>129</v>
      </c>
      <c r="C69" s="15">
        <v>2023</v>
      </c>
      <c r="D69" s="15">
        <v>0</v>
      </c>
      <c r="G69" s="14">
        <f t="shared" si="5"/>
        <v>0</v>
      </c>
      <c r="H69" s="19">
        <v>0</v>
      </c>
      <c r="I69" s="19">
        <v>0</v>
      </c>
      <c r="J69" s="24" t="s">
        <v>37</v>
      </c>
      <c r="K69" s="14">
        <v>0.25</v>
      </c>
      <c r="L69" s="19">
        <f t="shared" si="7"/>
        <v>0</v>
      </c>
      <c r="M69" s="19">
        <f>AVERAGE(W69:Z69)</f>
        <v>18.5</v>
      </c>
      <c r="N69" s="19">
        <f>AVERAGE(AA69:AB69)</f>
        <v>15.75</v>
      </c>
      <c r="O69" s="19">
        <v>85</v>
      </c>
      <c r="P69" s="19">
        <v>0</v>
      </c>
      <c r="Q69" s="19">
        <v>15</v>
      </c>
      <c r="R69" s="19">
        <v>1</v>
      </c>
      <c r="S69" s="56" t="s">
        <v>572</v>
      </c>
      <c r="T69" s="55" t="s">
        <v>37</v>
      </c>
      <c r="U69" s="14">
        <v>0</v>
      </c>
      <c r="V69" s="55" t="s">
        <v>584</v>
      </c>
      <c r="W69" s="14">
        <v>17</v>
      </c>
      <c r="X69" s="14">
        <v>18</v>
      </c>
      <c r="Y69" s="14">
        <v>17</v>
      </c>
      <c r="Z69" s="14">
        <v>22</v>
      </c>
      <c r="AA69" s="14">
        <v>17.5</v>
      </c>
      <c r="AB69" s="14">
        <v>14</v>
      </c>
      <c r="AF69" s="48" t="s">
        <v>37</v>
      </c>
      <c r="AK69" s="42">
        <v>45110</v>
      </c>
    </row>
    <row r="70" spans="1:38" x14ac:dyDescent="0.25">
      <c r="A70" s="47" t="s">
        <v>19</v>
      </c>
      <c r="B70" s="47" t="s">
        <v>129</v>
      </c>
      <c r="C70" s="15">
        <v>2024</v>
      </c>
      <c r="D70" s="15">
        <v>0</v>
      </c>
      <c r="E70" s="64" t="s">
        <v>37</v>
      </c>
      <c r="F70" s="64" t="s">
        <v>37</v>
      </c>
      <c r="G70" s="14">
        <f t="shared" si="5"/>
        <v>0</v>
      </c>
      <c r="H70" s="19">
        <v>0</v>
      </c>
      <c r="I70" s="19">
        <v>0</v>
      </c>
      <c r="J70" s="24" t="s">
        <v>37</v>
      </c>
      <c r="K70" s="14">
        <v>0.25</v>
      </c>
      <c r="L70" s="19">
        <f t="shared" si="7"/>
        <v>0</v>
      </c>
      <c r="M70" s="19">
        <f>AVERAGE(X70:Z70)</f>
        <v>19.666666666666668</v>
      </c>
      <c r="O70" s="19">
        <v>92</v>
      </c>
      <c r="P70" s="19">
        <v>1</v>
      </c>
      <c r="Q70" s="19">
        <v>8</v>
      </c>
      <c r="W70" s="14">
        <v>12</v>
      </c>
      <c r="X70" s="14">
        <v>18</v>
      </c>
      <c r="Y70" s="14">
        <v>20</v>
      </c>
      <c r="Z70" s="14">
        <v>21</v>
      </c>
    </row>
    <row r="71" spans="1:38" x14ac:dyDescent="0.25">
      <c r="A71" s="27" t="s">
        <v>19</v>
      </c>
      <c r="B71" s="27" t="s">
        <v>131</v>
      </c>
      <c r="C71" s="34">
        <v>2021</v>
      </c>
      <c r="D71" s="34">
        <v>0</v>
      </c>
      <c r="E71" s="30" t="s">
        <v>132</v>
      </c>
      <c r="F71" s="30">
        <v>2</v>
      </c>
      <c r="G71" s="30">
        <f t="shared" si="5"/>
        <v>0</v>
      </c>
      <c r="H71" s="27">
        <v>0</v>
      </c>
      <c r="I71" s="27">
        <v>0</v>
      </c>
      <c r="J71" s="24" t="s">
        <v>37</v>
      </c>
      <c r="K71" s="30">
        <v>0.25</v>
      </c>
      <c r="L71" s="27">
        <f t="shared" si="7"/>
        <v>0</v>
      </c>
      <c r="M71" s="27">
        <f>AVERAGE(W71:Z71)</f>
        <v>13.25</v>
      </c>
      <c r="N71" s="27"/>
      <c r="O71" s="27">
        <v>80</v>
      </c>
      <c r="P71" s="27">
        <v>25</v>
      </c>
      <c r="Q71" s="27" t="s">
        <v>37</v>
      </c>
      <c r="R71" s="27">
        <f>5+3</f>
        <v>8</v>
      </c>
      <c r="S71" s="27" t="s">
        <v>133</v>
      </c>
      <c r="T71" s="30"/>
      <c r="U71" s="30"/>
      <c r="V71" s="30"/>
      <c r="W71" s="30">
        <v>10</v>
      </c>
      <c r="X71" s="30">
        <v>8</v>
      </c>
      <c r="Y71" s="30">
        <v>15</v>
      </c>
      <c r="Z71" s="30">
        <v>20</v>
      </c>
      <c r="AA71" s="30"/>
      <c r="AB71" s="30"/>
      <c r="AC71" s="2"/>
      <c r="AD71" s="30" t="s">
        <v>130</v>
      </c>
      <c r="AE71" s="30" t="s">
        <v>37</v>
      </c>
      <c r="AF71" s="30" t="s">
        <v>37</v>
      </c>
      <c r="AG71" s="30" t="s">
        <v>37</v>
      </c>
      <c r="AH71" s="30">
        <v>1</v>
      </c>
      <c r="AI71" s="30">
        <v>2</v>
      </c>
      <c r="AJ71" s="30">
        <v>0</v>
      </c>
      <c r="AK71" s="32">
        <v>44379</v>
      </c>
      <c r="AL71" s="30"/>
    </row>
    <row r="72" spans="1:38" x14ac:dyDescent="0.25">
      <c r="A72" s="47" t="s">
        <v>19</v>
      </c>
      <c r="B72" s="47" t="s">
        <v>131</v>
      </c>
      <c r="C72" s="15">
        <v>2022</v>
      </c>
      <c r="D72" s="15">
        <v>0</v>
      </c>
      <c r="G72" s="14">
        <f t="shared" si="5"/>
        <v>0</v>
      </c>
      <c r="H72" s="19">
        <v>0</v>
      </c>
      <c r="I72" s="19">
        <v>0</v>
      </c>
      <c r="J72" s="24" t="s">
        <v>37</v>
      </c>
      <c r="K72" s="14">
        <v>0.25</v>
      </c>
      <c r="L72" s="19">
        <f t="shared" si="7"/>
        <v>0</v>
      </c>
      <c r="M72" s="19">
        <f>AVERAGE(W72:Z72)</f>
        <v>22.25</v>
      </c>
      <c r="O72" s="19">
        <v>88</v>
      </c>
      <c r="P72" s="19">
        <v>45</v>
      </c>
      <c r="Q72" s="19">
        <v>6</v>
      </c>
      <c r="R72" s="19">
        <v>12</v>
      </c>
      <c r="S72" s="47" t="s">
        <v>541</v>
      </c>
      <c r="T72" s="48" t="s">
        <v>506</v>
      </c>
      <c r="U72" s="14">
        <v>20</v>
      </c>
      <c r="V72" s="48" t="s">
        <v>545</v>
      </c>
      <c r="W72" s="14">
        <v>20</v>
      </c>
      <c r="X72" s="14">
        <v>23</v>
      </c>
      <c r="Y72" s="14">
        <v>17</v>
      </c>
      <c r="Z72" s="14">
        <v>29</v>
      </c>
      <c r="AF72" s="48" t="s">
        <v>37</v>
      </c>
      <c r="AK72" s="42">
        <v>44746</v>
      </c>
    </row>
    <row r="73" spans="1:38" x14ac:dyDescent="0.25">
      <c r="A73" s="47" t="s">
        <v>19</v>
      </c>
      <c r="B73" s="47" t="s">
        <v>131</v>
      </c>
      <c r="C73" s="15">
        <v>2023</v>
      </c>
      <c r="D73" s="15">
        <v>0</v>
      </c>
      <c r="G73" s="14">
        <f t="shared" si="5"/>
        <v>0</v>
      </c>
      <c r="H73" s="19">
        <v>0</v>
      </c>
      <c r="I73" s="19">
        <v>0</v>
      </c>
      <c r="J73" s="24" t="s">
        <v>37</v>
      </c>
      <c r="K73" s="14">
        <v>0.25</v>
      </c>
      <c r="L73" s="19">
        <f t="shared" si="7"/>
        <v>0</v>
      </c>
      <c r="M73" s="19">
        <f>AVERAGE(W73:Z73)</f>
        <v>19.5</v>
      </c>
      <c r="N73" s="19">
        <f>AVERAGE(AA73:AB73)</f>
        <v>18.75</v>
      </c>
      <c r="O73" s="19">
        <v>95</v>
      </c>
      <c r="P73" s="19">
        <v>5</v>
      </c>
      <c r="Q73" s="19">
        <v>5</v>
      </c>
      <c r="R73" s="56" t="s">
        <v>580</v>
      </c>
      <c r="S73" s="56" t="s">
        <v>574</v>
      </c>
      <c r="T73" s="55" t="s">
        <v>506</v>
      </c>
      <c r="U73" s="14">
        <v>1</v>
      </c>
      <c r="V73" s="55" t="s">
        <v>584</v>
      </c>
      <c r="W73" s="14">
        <v>21</v>
      </c>
      <c r="X73" s="14">
        <v>16</v>
      </c>
      <c r="Y73" s="14">
        <v>25</v>
      </c>
      <c r="Z73" s="14">
        <v>16</v>
      </c>
      <c r="AA73" s="14">
        <v>19.5</v>
      </c>
      <c r="AB73" s="14">
        <v>18</v>
      </c>
      <c r="AF73" s="48" t="s">
        <v>37</v>
      </c>
      <c r="AK73" s="42">
        <v>45110</v>
      </c>
    </row>
    <row r="74" spans="1:38" x14ac:dyDescent="0.25">
      <c r="A74" s="47" t="s">
        <v>19</v>
      </c>
      <c r="B74" s="47" t="s">
        <v>131</v>
      </c>
      <c r="C74" s="15">
        <v>2024</v>
      </c>
      <c r="D74" s="15">
        <v>0</v>
      </c>
      <c r="E74" s="64" t="s">
        <v>37</v>
      </c>
      <c r="F74" s="64" t="s">
        <v>37</v>
      </c>
      <c r="G74" s="14">
        <f t="shared" si="5"/>
        <v>0</v>
      </c>
      <c r="H74" s="19">
        <v>0</v>
      </c>
      <c r="I74" s="19">
        <v>0</v>
      </c>
      <c r="J74" s="24" t="s">
        <v>37</v>
      </c>
      <c r="K74" s="14">
        <v>0.25</v>
      </c>
      <c r="L74" s="19">
        <f t="shared" si="7"/>
        <v>0</v>
      </c>
      <c r="M74" s="19">
        <f>AVERAGE(X74:Z74)</f>
        <v>16.666666666666668</v>
      </c>
      <c r="O74" s="19">
        <v>98</v>
      </c>
      <c r="P74" s="19">
        <v>60</v>
      </c>
      <c r="Q74" s="19">
        <v>1</v>
      </c>
      <c r="W74" s="14">
        <v>16</v>
      </c>
      <c r="X74" s="14">
        <v>12</v>
      </c>
      <c r="Y74" s="14">
        <v>22</v>
      </c>
      <c r="Z74" s="14">
        <v>16</v>
      </c>
    </row>
    <row r="75" spans="1:38" x14ac:dyDescent="0.25">
      <c r="A75" s="27" t="s">
        <v>19</v>
      </c>
      <c r="B75" s="27" t="s">
        <v>135</v>
      </c>
      <c r="C75" s="34">
        <v>2021</v>
      </c>
      <c r="D75" s="34">
        <v>0</v>
      </c>
      <c r="E75" s="30" t="s">
        <v>132</v>
      </c>
      <c r="F75" s="30">
        <v>22</v>
      </c>
      <c r="G75" s="30">
        <f t="shared" si="5"/>
        <v>0</v>
      </c>
      <c r="H75" s="27">
        <v>0</v>
      </c>
      <c r="I75" s="27">
        <v>0</v>
      </c>
      <c r="J75" s="24" t="s">
        <v>37</v>
      </c>
      <c r="K75" s="30">
        <v>0.25</v>
      </c>
      <c r="L75" s="27">
        <f t="shared" si="7"/>
        <v>0</v>
      </c>
      <c r="M75" s="27">
        <f>AVERAGE(W75:Z75)</f>
        <v>12.5</v>
      </c>
      <c r="N75" s="27"/>
      <c r="O75" s="27">
        <v>50</v>
      </c>
      <c r="P75" s="27">
        <v>60</v>
      </c>
      <c r="Q75" s="27">
        <v>5</v>
      </c>
      <c r="R75" s="27">
        <v>1</v>
      </c>
      <c r="S75" s="27" t="s">
        <v>102</v>
      </c>
      <c r="T75" s="30"/>
      <c r="U75" s="30"/>
      <c r="V75" s="30"/>
      <c r="W75" s="30">
        <v>10</v>
      </c>
      <c r="X75" s="30">
        <v>13</v>
      </c>
      <c r="Y75" s="30">
        <v>16</v>
      </c>
      <c r="Z75" s="30">
        <v>11</v>
      </c>
      <c r="AA75" s="30"/>
      <c r="AB75" s="30"/>
      <c r="AC75" s="2"/>
      <c r="AD75" s="30" t="s">
        <v>134</v>
      </c>
      <c r="AE75" s="30" t="s">
        <v>37</v>
      </c>
      <c r="AF75" s="30" t="s">
        <v>37</v>
      </c>
      <c r="AG75" s="30" t="s">
        <v>37</v>
      </c>
      <c r="AH75" s="30">
        <v>1</v>
      </c>
      <c r="AI75" s="30">
        <v>2</v>
      </c>
      <c r="AJ75" s="30">
        <v>0</v>
      </c>
      <c r="AK75" s="32">
        <v>44379</v>
      </c>
      <c r="AL75" s="30"/>
    </row>
    <row r="76" spans="1:38" x14ac:dyDescent="0.25">
      <c r="A76" s="47" t="s">
        <v>19</v>
      </c>
      <c r="B76" s="47" t="s">
        <v>135</v>
      </c>
      <c r="C76" s="15">
        <v>2022</v>
      </c>
      <c r="D76" s="15">
        <v>0</v>
      </c>
      <c r="G76" s="14">
        <f t="shared" si="5"/>
        <v>0</v>
      </c>
      <c r="H76" s="19">
        <v>0</v>
      </c>
      <c r="I76" s="19">
        <v>0</v>
      </c>
      <c r="J76" s="24" t="s">
        <v>37</v>
      </c>
      <c r="K76" s="14">
        <v>0.25</v>
      </c>
      <c r="L76" s="19">
        <f t="shared" si="7"/>
        <v>0</v>
      </c>
      <c r="M76" s="19">
        <f>AVERAGE(W76:Z76)</f>
        <v>13</v>
      </c>
      <c r="O76" s="19">
        <v>75</v>
      </c>
      <c r="P76" s="19">
        <v>25</v>
      </c>
      <c r="Q76" s="19">
        <v>28</v>
      </c>
      <c r="R76" s="19">
        <v>0</v>
      </c>
      <c r="S76" s="47" t="s">
        <v>37</v>
      </c>
      <c r="T76" s="48" t="s">
        <v>37</v>
      </c>
      <c r="U76" s="14">
        <v>0</v>
      </c>
      <c r="W76" s="14">
        <v>16</v>
      </c>
      <c r="X76" s="14">
        <v>10</v>
      </c>
      <c r="Y76" s="14">
        <v>11</v>
      </c>
      <c r="Z76" s="14">
        <v>15</v>
      </c>
      <c r="AF76" s="48" t="s">
        <v>37</v>
      </c>
      <c r="AK76" s="42">
        <v>44746</v>
      </c>
    </row>
    <row r="77" spans="1:38" x14ac:dyDescent="0.25">
      <c r="A77" s="47" t="s">
        <v>19</v>
      </c>
      <c r="B77" s="47" t="s">
        <v>135</v>
      </c>
      <c r="C77" s="15">
        <v>2023</v>
      </c>
      <c r="D77" s="15">
        <v>0</v>
      </c>
      <c r="G77" s="14">
        <f t="shared" si="5"/>
        <v>0</v>
      </c>
      <c r="H77" s="19">
        <v>0</v>
      </c>
      <c r="I77" s="19">
        <v>0</v>
      </c>
      <c r="J77" s="24" t="s">
        <v>37</v>
      </c>
      <c r="K77" s="14">
        <v>0.25</v>
      </c>
      <c r="L77" s="19">
        <f t="shared" si="7"/>
        <v>0</v>
      </c>
      <c r="M77" s="19">
        <f>AVERAGE(W77:Z77)</f>
        <v>14.5</v>
      </c>
      <c r="N77" s="19">
        <f>AVERAGE(AA77:AB77)</f>
        <v>11.75</v>
      </c>
      <c r="O77" s="19">
        <v>60</v>
      </c>
      <c r="P77" s="19">
        <v>22</v>
      </c>
      <c r="Q77" s="19">
        <v>24</v>
      </c>
      <c r="R77" s="56" t="s">
        <v>582</v>
      </c>
      <c r="S77" s="56" t="s">
        <v>583</v>
      </c>
      <c r="T77" s="55" t="s">
        <v>37</v>
      </c>
      <c r="U77" s="14">
        <v>0</v>
      </c>
      <c r="V77" s="55" t="s">
        <v>584</v>
      </c>
      <c r="W77" s="14">
        <v>14</v>
      </c>
      <c r="X77" s="14">
        <v>12</v>
      </c>
      <c r="Y77" s="14">
        <v>14</v>
      </c>
      <c r="Z77" s="14">
        <v>18</v>
      </c>
      <c r="AA77" s="14">
        <v>11</v>
      </c>
      <c r="AB77" s="14">
        <v>12.5</v>
      </c>
      <c r="AF77" s="48" t="s">
        <v>37</v>
      </c>
      <c r="AK77" s="42">
        <v>45110</v>
      </c>
    </row>
    <row r="78" spans="1:38" x14ac:dyDescent="0.25">
      <c r="A78" s="47" t="s">
        <v>19</v>
      </c>
      <c r="B78" s="47" t="s">
        <v>135</v>
      </c>
      <c r="C78" s="15">
        <v>2024</v>
      </c>
      <c r="D78" s="15">
        <v>0</v>
      </c>
      <c r="E78" s="64" t="s">
        <v>37</v>
      </c>
      <c r="F78" s="64" t="s">
        <v>37</v>
      </c>
      <c r="G78" s="14">
        <f t="shared" si="5"/>
        <v>0</v>
      </c>
      <c r="H78" s="19">
        <v>0</v>
      </c>
      <c r="I78" s="19">
        <v>0</v>
      </c>
      <c r="J78" s="24" t="s">
        <v>37</v>
      </c>
      <c r="K78" s="14">
        <v>0.25</v>
      </c>
      <c r="L78" s="19">
        <f t="shared" si="7"/>
        <v>0</v>
      </c>
      <c r="M78" s="19">
        <f>AVERAGE(X78:Z78)</f>
        <v>13.666666666666666</v>
      </c>
      <c r="O78" s="19">
        <v>75</v>
      </c>
      <c r="P78" s="19">
        <v>3</v>
      </c>
      <c r="Q78" s="19">
        <v>20</v>
      </c>
      <c r="W78" s="14">
        <v>19</v>
      </c>
      <c r="X78" s="14">
        <v>14</v>
      </c>
      <c r="Y78" s="14">
        <v>13</v>
      </c>
      <c r="Z78" s="14">
        <v>14</v>
      </c>
    </row>
    <row r="79" spans="1:38" x14ac:dyDescent="0.25">
      <c r="A79" s="27" t="s">
        <v>19</v>
      </c>
      <c r="B79" s="27" t="s">
        <v>137</v>
      </c>
      <c r="C79" s="34">
        <v>2021</v>
      </c>
      <c r="D79" s="34">
        <v>0</v>
      </c>
      <c r="E79" s="30" t="s">
        <v>138</v>
      </c>
      <c r="F79" s="30">
        <v>5</v>
      </c>
      <c r="G79" s="30">
        <f t="shared" si="5"/>
        <v>0</v>
      </c>
      <c r="H79" s="27">
        <v>0</v>
      </c>
      <c r="I79" s="27">
        <v>0</v>
      </c>
      <c r="J79" s="24" t="s">
        <v>37</v>
      </c>
      <c r="K79" s="30">
        <v>0.25</v>
      </c>
      <c r="L79" s="27">
        <f t="shared" si="7"/>
        <v>0</v>
      </c>
      <c r="M79" s="27">
        <f>AVERAGE(W79:Z79)</f>
        <v>9.75</v>
      </c>
      <c r="N79" s="27"/>
      <c r="O79" s="27">
        <v>75</v>
      </c>
      <c r="P79" s="27">
        <v>20</v>
      </c>
      <c r="Q79" s="27">
        <v>5</v>
      </c>
      <c r="R79" s="27">
        <f>8+2</f>
        <v>10</v>
      </c>
      <c r="S79" s="27" t="s">
        <v>133</v>
      </c>
      <c r="T79" s="30"/>
      <c r="U79" s="30"/>
      <c r="V79" s="30"/>
      <c r="W79" s="30">
        <v>8</v>
      </c>
      <c r="X79" s="30">
        <v>10</v>
      </c>
      <c r="Y79" s="30">
        <v>12</v>
      </c>
      <c r="Z79" s="30">
        <v>9</v>
      </c>
      <c r="AA79" s="30"/>
      <c r="AB79" s="30"/>
      <c r="AC79" s="2"/>
      <c r="AD79" s="30" t="s">
        <v>136</v>
      </c>
      <c r="AE79" s="30" t="s">
        <v>37</v>
      </c>
      <c r="AF79" s="30" t="s">
        <v>37</v>
      </c>
      <c r="AG79" s="30" t="s">
        <v>37</v>
      </c>
      <c r="AH79" s="30">
        <v>1</v>
      </c>
      <c r="AI79" s="30">
        <v>2</v>
      </c>
      <c r="AJ79" s="30">
        <v>0</v>
      </c>
      <c r="AK79" s="32">
        <v>44379</v>
      </c>
      <c r="AL79" s="30"/>
    </row>
    <row r="80" spans="1:38" x14ac:dyDescent="0.25">
      <c r="A80" s="47" t="s">
        <v>19</v>
      </c>
      <c r="B80" s="47" t="s">
        <v>137</v>
      </c>
      <c r="C80" s="15">
        <v>2022</v>
      </c>
      <c r="D80" s="15">
        <v>0</v>
      </c>
      <c r="G80" s="14">
        <f t="shared" si="5"/>
        <v>0</v>
      </c>
      <c r="H80" s="19">
        <v>0</v>
      </c>
      <c r="I80" s="19">
        <v>0</v>
      </c>
      <c r="J80" s="24" t="s">
        <v>37</v>
      </c>
      <c r="K80" s="14">
        <v>0.25</v>
      </c>
      <c r="L80" s="19">
        <f t="shared" si="7"/>
        <v>0</v>
      </c>
      <c r="M80" s="19">
        <f>AVERAGE(W80:Z80)</f>
        <v>18</v>
      </c>
      <c r="O80" s="19">
        <v>90</v>
      </c>
      <c r="P80" s="19">
        <v>60</v>
      </c>
      <c r="Q80" s="19">
        <v>16</v>
      </c>
      <c r="R80" s="19">
        <v>7</v>
      </c>
      <c r="S80" s="47" t="s">
        <v>541</v>
      </c>
      <c r="T80" s="48" t="s">
        <v>37</v>
      </c>
      <c r="U80" s="14">
        <v>0</v>
      </c>
      <c r="W80" s="14">
        <v>16</v>
      </c>
      <c r="X80" s="14">
        <v>22</v>
      </c>
      <c r="Y80" s="14">
        <v>16</v>
      </c>
      <c r="Z80" s="14">
        <v>18</v>
      </c>
      <c r="AF80" s="48" t="s">
        <v>37</v>
      </c>
      <c r="AK80" s="42">
        <v>44746</v>
      </c>
    </row>
    <row r="81" spans="1:38" x14ac:dyDescent="0.25">
      <c r="A81" s="47" t="s">
        <v>19</v>
      </c>
      <c r="B81" s="47" t="s">
        <v>137</v>
      </c>
      <c r="C81" s="15">
        <v>2023</v>
      </c>
      <c r="D81" s="15">
        <v>0</v>
      </c>
      <c r="G81" s="14">
        <f t="shared" si="5"/>
        <v>0</v>
      </c>
      <c r="H81" s="19">
        <v>0</v>
      </c>
      <c r="I81" s="19">
        <v>0</v>
      </c>
      <c r="J81" s="24" t="s">
        <v>37</v>
      </c>
      <c r="K81" s="14">
        <v>0.25</v>
      </c>
      <c r="L81" s="19">
        <f t="shared" si="7"/>
        <v>0</v>
      </c>
      <c r="M81" s="19">
        <f>AVERAGE(W81:Z81)</f>
        <v>14</v>
      </c>
      <c r="N81" s="19">
        <f>AVERAGE(AA81:AB81)</f>
        <v>20.5</v>
      </c>
      <c r="O81" s="19">
        <v>93</v>
      </c>
      <c r="P81" s="19">
        <v>18</v>
      </c>
      <c r="Q81" s="19">
        <v>12</v>
      </c>
      <c r="R81" s="56" t="s">
        <v>585</v>
      </c>
      <c r="S81" s="56" t="s">
        <v>574</v>
      </c>
      <c r="T81" s="55" t="s">
        <v>37</v>
      </c>
      <c r="U81" s="14">
        <v>0</v>
      </c>
      <c r="V81" s="55" t="s">
        <v>577</v>
      </c>
      <c r="W81" s="14">
        <v>16</v>
      </c>
      <c r="X81" s="14">
        <v>8</v>
      </c>
      <c r="Y81" s="14">
        <v>15</v>
      </c>
      <c r="Z81" s="14">
        <v>17</v>
      </c>
      <c r="AA81" s="14">
        <v>20</v>
      </c>
      <c r="AB81" s="14">
        <v>21</v>
      </c>
      <c r="AF81" s="48" t="s">
        <v>37</v>
      </c>
      <c r="AK81" s="42">
        <v>45110</v>
      </c>
    </row>
    <row r="82" spans="1:38" x14ac:dyDescent="0.25">
      <c r="A82" s="47" t="s">
        <v>19</v>
      </c>
      <c r="B82" s="47" t="s">
        <v>137</v>
      </c>
      <c r="C82" s="15">
        <v>2024</v>
      </c>
      <c r="D82" s="15">
        <v>0</v>
      </c>
      <c r="E82" s="64" t="s">
        <v>37</v>
      </c>
      <c r="F82" s="64" t="s">
        <v>37</v>
      </c>
      <c r="G82" s="14">
        <f t="shared" si="5"/>
        <v>0</v>
      </c>
      <c r="H82" s="19">
        <v>0</v>
      </c>
      <c r="I82" s="19">
        <v>0</v>
      </c>
      <c r="J82" s="24" t="s">
        <v>37</v>
      </c>
      <c r="K82" s="14">
        <v>0.25</v>
      </c>
      <c r="L82" s="19">
        <f t="shared" si="7"/>
        <v>0</v>
      </c>
      <c r="M82" s="19">
        <f>AVERAGE(X82:Z82)</f>
        <v>15.333333333333334</v>
      </c>
      <c r="O82" s="19">
        <v>85</v>
      </c>
      <c r="P82" s="19">
        <v>8</v>
      </c>
      <c r="Q82" s="19">
        <v>12</v>
      </c>
      <c r="W82" s="14">
        <v>17</v>
      </c>
      <c r="X82" s="14">
        <v>15</v>
      </c>
      <c r="Y82" s="14">
        <v>19</v>
      </c>
      <c r="Z82" s="14">
        <v>12</v>
      </c>
    </row>
    <row r="83" spans="1:38" x14ac:dyDescent="0.25">
      <c r="A83" s="27" t="s">
        <v>19</v>
      </c>
      <c r="B83" s="27" t="s">
        <v>140</v>
      </c>
      <c r="C83" s="34">
        <v>2021</v>
      </c>
      <c r="D83" s="34">
        <v>0</v>
      </c>
      <c r="E83" s="30" t="s">
        <v>138</v>
      </c>
      <c r="F83" s="30">
        <v>15</v>
      </c>
      <c r="G83" s="30">
        <f t="shared" si="5"/>
        <v>0</v>
      </c>
      <c r="H83" s="27">
        <v>0</v>
      </c>
      <c r="I83" s="27">
        <v>0</v>
      </c>
      <c r="J83" s="24" t="s">
        <v>37</v>
      </c>
      <c r="K83" s="30">
        <v>0.25</v>
      </c>
      <c r="L83" s="27">
        <f t="shared" si="7"/>
        <v>0</v>
      </c>
      <c r="M83" s="27">
        <f>AVERAGE(W83:Z83)</f>
        <v>11</v>
      </c>
      <c r="N83" s="27"/>
      <c r="O83" s="27">
        <v>60</v>
      </c>
      <c r="P83" s="27">
        <v>4</v>
      </c>
      <c r="Q83" s="27">
        <v>10</v>
      </c>
      <c r="R83" s="27">
        <v>4</v>
      </c>
      <c r="S83" s="27" t="s">
        <v>102</v>
      </c>
      <c r="T83" s="30"/>
      <c r="U83" s="30"/>
      <c r="V83" s="30"/>
      <c r="W83" s="30">
        <v>7</v>
      </c>
      <c r="X83" s="30">
        <v>13</v>
      </c>
      <c r="Y83" s="30">
        <v>10</v>
      </c>
      <c r="Z83" s="30">
        <v>14</v>
      </c>
      <c r="AA83" s="30"/>
      <c r="AB83" s="30"/>
      <c r="AC83" s="30"/>
      <c r="AD83" s="30" t="s">
        <v>139</v>
      </c>
      <c r="AE83" s="30" t="s">
        <v>37</v>
      </c>
      <c r="AF83" s="30" t="s">
        <v>37</v>
      </c>
      <c r="AG83" s="30" t="s">
        <v>37</v>
      </c>
      <c r="AH83" s="30">
        <v>1</v>
      </c>
      <c r="AI83" s="30">
        <v>2</v>
      </c>
      <c r="AJ83" s="30">
        <v>0</v>
      </c>
      <c r="AK83" s="32">
        <v>44379</v>
      </c>
      <c r="AL83" s="30"/>
    </row>
    <row r="84" spans="1:38" x14ac:dyDescent="0.25">
      <c r="A84" s="47" t="s">
        <v>19</v>
      </c>
      <c r="B84" s="47" t="s">
        <v>140</v>
      </c>
      <c r="C84" s="15">
        <v>2022</v>
      </c>
      <c r="D84" s="15">
        <v>0</v>
      </c>
      <c r="G84" s="14">
        <f t="shared" si="5"/>
        <v>0</v>
      </c>
      <c r="H84" s="19">
        <v>0</v>
      </c>
      <c r="I84" s="19">
        <v>0</v>
      </c>
      <c r="J84" s="24" t="s">
        <v>37</v>
      </c>
      <c r="K84" s="14">
        <v>0.25</v>
      </c>
      <c r="L84" s="19">
        <f t="shared" si="7"/>
        <v>0</v>
      </c>
      <c r="M84" s="19">
        <f>AVERAGE(W84:Z84)</f>
        <v>21.25</v>
      </c>
      <c r="O84" s="19">
        <v>75</v>
      </c>
      <c r="P84" s="19">
        <v>15</v>
      </c>
      <c r="Q84" s="19">
        <v>20</v>
      </c>
      <c r="R84" s="19">
        <v>2</v>
      </c>
      <c r="S84" s="47" t="s">
        <v>541</v>
      </c>
      <c r="T84" s="48" t="s">
        <v>37</v>
      </c>
      <c r="U84" s="14">
        <v>0</v>
      </c>
      <c r="W84" s="14">
        <v>29</v>
      </c>
      <c r="X84" s="14">
        <v>21</v>
      </c>
      <c r="Y84" s="14">
        <v>14</v>
      </c>
      <c r="Z84" s="14">
        <v>21</v>
      </c>
      <c r="AF84" s="48" t="s">
        <v>37</v>
      </c>
      <c r="AK84" s="42">
        <v>44746</v>
      </c>
    </row>
    <row r="85" spans="1:38" x14ac:dyDescent="0.25">
      <c r="A85" s="47" t="s">
        <v>19</v>
      </c>
      <c r="B85" s="47" t="s">
        <v>140</v>
      </c>
      <c r="C85" s="15">
        <v>2023</v>
      </c>
      <c r="D85" s="15">
        <v>0</v>
      </c>
      <c r="G85" s="14">
        <f t="shared" si="5"/>
        <v>0</v>
      </c>
      <c r="H85" s="19">
        <v>0</v>
      </c>
      <c r="I85" s="19">
        <v>0</v>
      </c>
      <c r="J85" s="24" t="s">
        <v>37</v>
      </c>
      <c r="K85" s="14">
        <v>0.25</v>
      </c>
      <c r="L85" s="19">
        <f t="shared" si="7"/>
        <v>0</v>
      </c>
      <c r="M85" s="19">
        <f>AVERAGE(W85:Z85)</f>
        <v>13.75</v>
      </c>
      <c r="N85" s="19">
        <f>AVERAGE(AA85:AB85)</f>
        <v>17</v>
      </c>
      <c r="O85" s="19">
        <v>92</v>
      </c>
      <c r="P85" s="19">
        <v>12</v>
      </c>
      <c r="Q85" s="19">
        <v>9</v>
      </c>
      <c r="R85" s="19">
        <v>7</v>
      </c>
      <c r="S85" s="56" t="s">
        <v>541</v>
      </c>
      <c r="T85" s="55" t="s">
        <v>37</v>
      </c>
      <c r="U85" s="14">
        <v>0</v>
      </c>
      <c r="V85" s="55" t="s">
        <v>577</v>
      </c>
      <c r="W85" s="14">
        <v>22</v>
      </c>
      <c r="X85" s="14">
        <v>20</v>
      </c>
      <c r="Y85" s="14">
        <v>4</v>
      </c>
      <c r="Z85" s="14">
        <v>9</v>
      </c>
      <c r="AA85" s="14">
        <v>17</v>
      </c>
      <c r="AB85" s="14">
        <v>17</v>
      </c>
      <c r="AF85" s="48" t="s">
        <v>37</v>
      </c>
      <c r="AK85" s="42">
        <v>45110</v>
      </c>
    </row>
    <row r="86" spans="1:38" x14ac:dyDescent="0.25">
      <c r="A86" s="47" t="s">
        <v>19</v>
      </c>
      <c r="B86" s="47" t="s">
        <v>140</v>
      </c>
      <c r="C86" s="15">
        <v>2024</v>
      </c>
      <c r="D86" s="15">
        <v>0</v>
      </c>
      <c r="E86" s="64" t="s">
        <v>37</v>
      </c>
      <c r="F86" s="64" t="s">
        <v>37</v>
      </c>
      <c r="G86" s="14">
        <f t="shared" si="5"/>
        <v>0</v>
      </c>
      <c r="H86" s="19">
        <v>0</v>
      </c>
      <c r="I86" s="19">
        <v>0</v>
      </c>
      <c r="J86" s="24" t="s">
        <v>37</v>
      </c>
      <c r="K86" s="14">
        <v>0.25</v>
      </c>
      <c r="L86" s="19">
        <f t="shared" si="7"/>
        <v>0</v>
      </c>
      <c r="M86" s="19">
        <f>AVERAGE(X86:Z86)</f>
        <v>15.666666666666666</v>
      </c>
      <c r="O86" s="19">
        <v>82</v>
      </c>
      <c r="P86" s="19">
        <v>4</v>
      </c>
      <c r="Q86" s="19">
        <v>18</v>
      </c>
      <c r="W86" s="14">
        <v>17</v>
      </c>
      <c r="X86" s="14">
        <v>19</v>
      </c>
      <c r="Y86" s="14">
        <v>14</v>
      </c>
      <c r="Z86" s="14">
        <v>14</v>
      </c>
    </row>
    <row r="87" spans="1:38" x14ac:dyDescent="0.25">
      <c r="A87" s="27" t="s">
        <v>19</v>
      </c>
      <c r="B87" s="27" t="s">
        <v>142</v>
      </c>
      <c r="C87" s="34">
        <v>2021</v>
      </c>
      <c r="D87" s="34">
        <v>0</v>
      </c>
      <c r="E87" s="30" t="s">
        <v>138</v>
      </c>
      <c r="F87" s="30">
        <v>25</v>
      </c>
      <c r="G87" s="30">
        <f t="shared" si="5"/>
        <v>0</v>
      </c>
      <c r="H87" s="27">
        <v>0</v>
      </c>
      <c r="I87" s="27">
        <v>0</v>
      </c>
      <c r="J87" s="24" t="s">
        <v>37</v>
      </c>
      <c r="K87" s="30">
        <v>0.25</v>
      </c>
      <c r="L87" s="27">
        <f t="shared" si="7"/>
        <v>0</v>
      </c>
      <c r="M87" s="27">
        <f>AVERAGE(W87:Z87)</f>
        <v>13</v>
      </c>
      <c r="N87" s="27"/>
      <c r="O87" s="27">
        <v>65</v>
      </c>
      <c r="P87" s="27">
        <v>5</v>
      </c>
      <c r="Q87" s="27">
        <v>25</v>
      </c>
      <c r="R87" s="27">
        <v>0</v>
      </c>
      <c r="S87" s="27"/>
      <c r="T87" s="30"/>
      <c r="U87" s="30"/>
      <c r="V87" s="30"/>
      <c r="W87" s="30">
        <v>14</v>
      </c>
      <c r="X87" s="30">
        <v>11</v>
      </c>
      <c r="Y87" s="30">
        <v>16</v>
      </c>
      <c r="Z87" s="30">
        <v>11</v>
      </c>
      <c r="AA87" s="30"/>
      <c r="AB87" s="30"/>
      <c r="AC87" s="2"/>
      <c r="AD87" s="30" t="s">
        <v>141</v>
      </c>
      <c r="AE87" s="30" t="s">
        <v>37</v>
      </c>
      <c r="AF87" s="30" t="s">
        <v>37</v>
      </c>
      <c r="AG87" s="30" t="s">
        <v>37</v>
      </c>
      <c r="AH87" s="30">
        <v>1</v>
      </c>
      <c r="AI87" s="30">
        <v>2</v>
      </c>
      <c r="AJ87" s="30">
        <v>0</v>
      </c>
      <c r="AK87" s="32">
        <v>44379</v>
      </c>
      <c r="AL87" s="30"/>
    </row>
    <row r="88" spans="1:38" x14ac:dyDescent="0.25">
      <c r="A88" s="47" t="s">
        <v>19</v>
      </c>
      <c r="B88" s="47" t="s">
        <v>142</v>
      </c>
      <c r="C88" s="15">
        <v>2022</v>
      </c>
      <c r="D88" s="15">
        <v>0</v>
      </c>
      <c r="G88" s="14">
        <f t="shared" si="5"/>
        <v>0</v>
      </c>
      <c r="H88" s="19">
        <v>0</v>
      </c>
      <c r="I88" s="19">
        <v>0</v>
      </c>
      <c r="J88" s="24" t="s">
        <v>37</v>
      </c>
      <c r="K88" s="14">
        <v>0.25</v>
      </c>
      <c r="L88" s="19">
        <f t="shared" si="7"/>
        <v>0</v>
      </c>
      <c r="M88" s="19">
        <f>AVERAGE(W88:Z88)</f>
        <v>17.5</v>
      </c>
      <c r="O88" s="19">
        <v>78</v>
      </c>
      <c r="P88" s="19">
        <v>4</v>
      </c>
      <c r="Q88" s="19">
        <v>18</v>
      </c>
      <c r="R88" s="19">
        <v>0</v>
      </c>
      <c r="S88" s="47" t="s">
        <v>37</v>
      </c>
      <c r="T88" s="48" t="s">
        <v>37</v>
      </c>
      <c r="U88" s="14">
        <v>0</v>
      </c>
      <c r="W88" s="14">
        <v>14</v>
      </c>
      <c r="X88" s="14">
        <v>22</v>
      </c>
      <c r="Y88" s="14">
        <v>16</v>
      </c>
      <c r="Z88" s="14">
        <v>18</v>
      </c>
      <c r="AF88" s="48" t="s">
        <v>37</v>
      </c>
      <c r="AK88" s="42">
        <v>44746</v>
      </c>
    </row>
    <row r="89" spans="1:38" x14ac:dyDescent="0.25">
      <c r="A89" s="47" t="s">
        <v>19</v>
      </c>
      <c r="B89" s="47" t="s">
        <v>142</v>
      </c>
      <c r="C89" s="15">
        <v>2023</v>
      </c>
      <c r="D89" s="15">
        <v>0</v>
      </c>
      <c r="G89" s="14">
        <f t="shared" si="5"/>
        <v>0</v>
      </c>
      <c r="H89" s="19">
        <v>0</v>
      </c>
      <c r="I89" s="19">
        <v>0</v>
      </c>
      <c r="J89" s="24" t="s">
        <v>37</v>
      </c>
      <c r="K89" s="14">
        <v>0.25</v>
      </c>
      <c r="L89" s="19">
        <f t="shared" si="7"/>
        <v>0</v>
      </c>
      <c r="M89" s="19">
        <f>AVERAGE(W89:Z89)</f>
        <v>20.25</v>
      </c>
      <c r="N89" s="19">
        <f>AVERAGE(AA89:AB89)</f>
        <v>14.25</v>
      </c>
      <c r="O89" s="19">
        <v>85</v>
      </c>
      <c r="P89" s="19">
        <v>7</v>
      </c>
      <c r="Q89" s="19">
        <v>14</v>
      </c>
      <c r="R89" s="19">
        <v>0</v>
      </c>
      <c r="S89" s="56" t="s">
        <v>37</v>
      </c>
      <c r="T89" s="55" t="s">
        <v>37</v>
      </c>
      <c r="U89" s="14">
        <v>0</v>
      </c>
      <c r="V89" s="55" t="s">
        <v>577</v>
      </c>
      <c r="W89" s="14">
        <v>18</v>
      </c>
      <c r="X89" s="14">
        <v>14</v>
      </c>
      <c r="Y89" s="14">
        <v>24</v>
      </c>
      <c r="Z89" s="14">
        <v>25</v>
      </c>
      <c r="AA89" s="55">
        <v>15.5</v>
      </c>
      <c r="AB89" s="14">
        <v>13</v>
      </c>
      <c r="AF89" s="48" t="s">
        <v>37</v>
      </c>
      <c r="AK89" s="42">
        <v>45110</v>
      </c>
    </row>
    <row r="90" spans="1:38" x14ac:dyDescent="0.25">
      <c r="A90" s="47" t="s">
        <v>19</v>
      </c>
      <c r="B90" s="47" t="s">
        <v>142</v>
      </c>
      <c r="C90" s="15">
        <v>2024</v>
      </c>
      <c r="D90" s="15">
        <v>0</v>
      </c>
      <c r="E90" s="64" t="s">
        <v>37</v>
      </c>
      <c r="F90" s="64" t="s">
        <v>37</v>
      </c>
      <c r="G90" s="14">
        <f t="shared" si="5"/>
        <v>0</v>
      </c>
      <c r="H90" s="19">
        <v>0</v>
      </c>
      <c r="I90" s="19">
        <v>0</v>
      </c>
      <c r="J90" s="24" t="s">
        <v>37</v>
      </c>
      <c r="K90" s="14">
        <v>0.25</v>
      </c>
      <c r="L90" s="19">
        <f t="shared" si="7"/>
        <v>0</v>
      </c>
      <c r="M90" s="19">
        <f>AVERAGE(X90:Z90)</f>
        <v>13.666666666666666</v>
      </c>
      <c r="O90" s="19">
        <v>75</v>
      </c>
      <c r="P90" s="19">
        <v>3</v>
      </c>
      <c r="Q90" s="19">
        <v>25</v>
      </c>
      <c r="W90" s="14">
        <v>14</v>
      </c>
      <c r="X90" s="14">
        <v>17</v>
      </c>
      <c r="Y90" s="14">
        <v>13</v>
      </c>
      <c r="Z90" s="14">
        <v>11</v>
      </c>
    </row>
    <row r="91" spans="1:38" hidden="1" x14ac:dyDescent="0.25">
      <c r="A91" s="21" t="s">
        <v>19</v>
      </c>
      <c r="B91" s="22" t="s">
        <v>144</v>
      </c>
      <c r="C91" s="3">
        <v>2014</v>
      </c>
      <c r="D91" s="3">
        <v>1</v>
      </c>
      <c r="E91" s="3" t="s">
        <v>37</v>
      </c>
      <c r="F91" s="3" t="s">
        <v>37</v>
      </c>
      <c r="G91" s="2">
        <v>23</v>
      </c>
      <c r="H91" s="21">
        <v>5</v>
      </c>
      <c r="I91" s="21">
        <f>G91-H91</f>
        <v>18</v>
      </c>
      <c r="J91" s="24">
        <f>H91/G91</f>
        <v>0.21739130434782608</v>
      </c>
      <c r="K91" s="2">
        <v>0.140625</v>
      </c>
      <c r="L91" s="27">
        <f t="shared" si="7"/>
        <v>40.888888888888886</v>
      </c>
      <c r="M91" s="27">
        <v>7</v>
      </c>
      <c r="N91" s="27"/>
      <c r="O91" s="27">
        <v>60</v>
      </c>
      <c r="P91" s="27"/>
      <c r="Q91" s="27"/>
      <c r="R91" s="27"/>
      <c r="S91" s="27"/>
      <c r="T91" s="30"/>
      <c r="U91" s="30"/>
      <c r="V91" s="30"/>
      <c r="W91" s="30"/>
      <c r="X91" s="30"/>
      <c r="Y91" s="30"/>
      <c r="Z91" s="30"/>
      <c r="AA91" s="30"/>
      <c r="AB91" s="30"/>
      <c r="AC91" s="2"/>
      <c r="AD91" s="3" t="s">
        <v>143</v>
      </c>
      <c r="AE91" s="3">
        <v>0.60869565217391308</v>
      </c>
      <c r="AF91" s="2">
        <v>986.26086956521738</v>
      </c>
      <c r="AG91" s="30">
        <v>26.1</v>
      </c>
      <c r="AH91" s="30">
        <v>1</v>
      </c>
      <c r="AI91" s="30">
        <v>2</v>
      </c>
      <c r="AJ91" s="30">
        <v>0</v>
      </c>
      <c r="AK91" s="30"/>
      <c r="AL91" s="30"/>
    </row>
    <row r="92" spans="1:38" hidden="1" x14ac:dyDescent="0.25">
      <c r="A92" s="21" t="s">
        <v>19</v>
      </c>
      <c r="B92" s="22" t="s">
        <v>144</v>
      </c>
      <c r="C92" s="3">
        <v>2015</v>
      </c>
      <c r="D92" s="3">
        <v>1</v>
      </c>
      <c r="E92" s="3" t="s">
        <v>37</v>
      </c>
      <c r="F92" s="3" t="s">
        <v>37</v>
      </c>
      <c r="G92" s="2">
        <v>14</v>
      </c>
      <c r="H92" s="21">
        <v>1</v>
      </c>
      <c r="I92" s="21">
        <f>G92-H92</f>
        <v>13</v>
      </c>
      <c r="J92" s="24">
        <f>H92/G92</f>
        <v>7.1428571428571425E-2</v>
      </c>
      <c r="K92" s="2">
        <v>0.140625</v>
      </c>
      <c r="L92" s="27">
        <f t="shared" si="7"/>
        <v>24.888888888888889</v>
      </c>
      <c r="M92" s="27" t="s">
        <v>37</v>
      </c>
      <c r="N92" s="27"/>
      <c r="O92" s="27" t="s">
        <v>37</v>
      </c>
      <c r="P92" s="27"/>
      <c r="Q92" s="27"/>
      <c r="R92" s="27"/>
      <c r="S92" s="27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" t="s">
        <v>143</v>
      </c>
      <c r="AE92" s="3">
        <v>0.5714285714285714</v>
      </c>
      <c r="AF92" s="2">
        <v>695.78571428571433</v>
      </c>
      <c r="AG92" s="30" t="s">
        <v>37</v>
      </c>
      <c r="AH92" s="30">
        <v>1</v>
      </c>
      <c r="AI92" s="30">
        <v>2</v>
      </c>
      <c r="AJ92" s="30">
        <v>0</v>
      </c>
      <c r="AK92" s="30"/>
      <c r="AL92" s="30"/>
    </row>
    <row r="93" spans="1:38" hidden="1" x14ac:dyDescent="0.25">
      <c r="A93" s="21" t="s">
        <v>19</v>
      </c>
      <c r="B93" s="22" t="s">
        <v>144</v>
      </c>
      <c r="C93" s="3">
        <v>2016</v>
      </c>
      <c r="D93" s="3">
        <v>1</v>
      </c>
      <c r="E93" s="3" t="s">
        <v>37</v>
      </c>
      <c r="F93" s="3" t="s">
        <v>37</v>
      </c>
      <c r="G93" s="25">
        <v>8</v>
      </c>
      <c r="H93" s="23">
        <v>1</v>
      </c>
      <c r="I93" s="21">
        <f>G93-H93</f>
        <v>7</v>
      </c>
      <c r="J93" s="24">
        <f>H93/G93</f>
        <v>0.125</v>
      </c>
      <c r="K93" s="2">
        <v>0.140625</v>
      </c>
      <c r="L93" s="27">
        <f t="shared" si="7"/>
        <v>14.222222222222221</v>
      </c>
      <c r="M93" s="27">
        <v>6.75</v>
      </c>
      <c r="N93" s="27"/>
      <c r="O93" s="27">
        <v>60</v>
      </c>
      <c r="P93" s="27"/>
      <c r="Q93" s="27"/>
      <c r="R93" s="27"/>
      <c r="S93" s="27"/>
      <c r="T93" s="30"/>
      <c r="U93" s="30"/>
      <c r="V93" s="30"/>
      <c r="W93" s="30"/>
      <c r="X93" s="30"/>
      <c r="Y93" s="30"/>
      <c r="Z93" s="30"/>
      <c r="AA93" s="30"/>
      <c r="AB93" s="30"/>
      <c r="AC93" s="2"/>
      <c r="AD93" s="3" t="s">
        <v>143</v>
      </c>
      <c r="AE93" s="3">
        <v>0.125</v>
      </c>
      <c r="AF93" s="2">
        <v>799.125</v>
      </c>
      <c r="AG93" s="30">
        <v>32.299999999999997</v>
      </c>
      <c r="AH93" s="30">
        <v>1</v>
      </c>
      <c r="AI93" s="30">
        <v>2</v>
      </c>
      <c r="AJ93" s="30">
        <v>0</v>
      </c>
      <c r="AK93" s="30"/>
      <c r="AL93" s="30"/>
    </row>
    <row r="94" spans="1:38" hidden="1" x14ac:dyDescent="0.25">
      <c r="A94" s="21" t="s">
        <v>19</v>
      </c>
      <c r="B94" s="22" t="s">
        <v>144</v>
      </c>
      <c r="C94" s="3">
        <v>2017</v>
      </c>
      <c r="D94" s="3">
        <v>1</v>
      </c>
      <c r="E94" s="3" t="s">
        <v>37</v>
      </c>
      <c r="F94" s="3" t="s">
        <v>37</v>
      </c>
      <c r="G94" s="25">
        <v>1</v>
      </c>
      <c r="H94" s="23">
        <v>0</v>
      </c>
      <c r="I94" s="21">
        <f>G94-H94</f>
        <v>1</v>
      </c>
      <c r="J94" s="24">
        <f>H94/G94</f>
        <v>0</v>
      </c>
      <c r="K94" s="2">
        <v>0.140625</v>
      </c>
      <c r="L94" s="27">
        <f t="shared" si="7"/>
        <v>1.7777777777777777</v>
      </c>
      <c r="M94" s="27">
        <v>3.75</v>
      </c>
      <c r="N94" s="27"/>
      <c r="O94" s="27">
        <v>75</v>
      </c>
      <c r="P94" s="27"/>
      <c r="Q94" s="27"/>
      <c r="R94" s="27"/>
      <c r="S94" s="27"/>
      <c r="T94" s="30"/>
      <c r="U94" s="30"/>
      <c r="V94" s="30"/>
      <c r="W94" s="30"/>
      <c r="X94" s="30"/>
      <c r="Y94" s="30"/>
      <c r="Z94" s="30"/>
      <c r="AA94" s="30"/>
      <c r="AB94" s="30"/>
      <c r="AC94" s="2"/>
      <c r="AD94" s="3" t="s">
        <v>143</v>
      </c>
      <c r="AE94" s="3">
        <v>1.125</v>
      </c>
      <c r="AF94" s="2">
        <v>704</v>
      </c>
      <c r="AG94" s="30">
        <v>28.675000000000001</v>
      </c>
      <c r="AH94" s="30">
        <v>1</v>
      </c>
      <c r="AI94" s="30">
        <v>2</v>
      </c>
      <c r="AJ94" s="30">
        <v>0</v>
      </c>
      <c r="AK94" s="30"/>
      <c r="AL94" s="30"/>
    </row>
    <row r="95" spans="1:38" hidden="1" x14ac:dyDescent="0.25">
      <c r="A95" s="21" t="s">
        <v>19</v>
      </c>
      <c r="B95" s="22" t="s">
        <v>144</v>
      </c>
      <c r="C95" s="3">
        <v>2018</v>
      </c>
      <c r="D95" s="3">
        <v>1</v>
      </c>
      <c r="E95" s="3" t="s">
        <v>37</v>
      </c>
      <c r="F95" s="3" t="s">
        <v>37</v>
      </c>
      <c r="G95" s="30" t="s">
        <v>37</v>
      </c>
      <c r="H95" s="27" t="s">
        <v>37</v>
      </c>
      <c r="I95" s="27" t="s">
        <v>37</v>
      </c>
      <c r="J95" s="27" t="s">
        <v>37</v>
      </c>
      <c r="K95" s="2" t="s">
        <v>37</v>
      </c>
      <c r="L95" s="24" t="s">
        <v>37</v>
      </c>
      <c r="M95" s="27" t="s">
        <v>37</v>
      </c>
      <c r="N95" s="27"/>
      <c r="O95" s="27" t="s">
        <v>37</v>
      </c>
      <c r="P95" s="27"/>
      <c r="Q95" s="27"/>
      <c r="R95" s="27"/>
      <c r="S95" s="27"/>
      <c r="T95" s="30"/>
      <c r="U95" s="30"/>
      <c r="V95" s="30"/>
      <c r="W95" s="30"/>
      <c r="X95" s="30"/>
      <c r="Y95" s="30"/>
      <c r="Z95" s="30"/>
      <c r="AA95" s="30"/>
      <c r="AB95" s="30"/>
      <c r="AC95" s="2"/>
      <c r="AD95" s="3" t="s">
        <v>143</v>
      </c>
      <c r="AE95" s="3" t="s">
        <v>37</v>
      </c>
      <c r="AF95" s="30" t="s">
        <v>37</v>
      </c>
      <c r="AG95" s="30" t="s">
        <v>37</v>
      </c>
      <c r="AH95" s="30">
        <v>1</v>
      </c>
      <c r="AI95" s="30">
        <v>2</v>
      </c>
      <c r="AJ95" s="30">
        <v>0</v>
      </c>
      <c r="AK95" s="30"/>
      <c r="AL95" s="30"/>
    </row>
    <row r="96" spans="1:38" hidden="1" x14ac:dyDescent="0.25">
      <c r="A96" s="21" t="s">
        <v>19</v>
      </c>
      <c r="B96" s="22" t="s">
        <v>144</v>
      </c>
      <c r="C96" s="3">
        <v>2019</v>
      </c>
      <c r="D96" s="3">
        <v>1</v>
      </c>
      <c r="E96" s="3" t="s">
        <v>37</v>
      </c>
      <c r="F96" s="3" t="s">
        <v>37</v>
      </c>
      <c r="G96" s="30">
        <f t="shared" ref="G96:G101" si="8">SUM(H96:I96)</f>
        <v>2</v>
      </c>
      <c r="H96" s="27">
        <v>0</v>
      </c>
      <c r="I96" s="21">
        <v>2</v>
      </c>
      <c r="J96" s="24">
        <f t="shared" ref="J96:J105" si="9">H96/G96</f>
        <v>0</v>
      </c>
      <c r="K96" s="30">
        <v>0.25</v>
      </c>
      <c r="L96" s="27">
        <f t="shared" ref="L96:L105" si="10">G96/(K96/0.25)</f>
        <v>2</v>
      </c>
      <c r="M96" s="27">
        <v>13.5</v>
      </c>
      <c r="N96" s="27"/>
      <c r="O96" s="27">
        <v>75</v>
      </c>
      <c r="P96" s="27">
        <v>0</v>
      </c>
      <c r="Q96" s="27"/>
      <c r="R96" s="27"/>
      <c r="S96" s="27"/>
      <c r="T96" s="30"/>
      <c r="U96" s="30"/>
      <c r="V96" s="30"/>
      <c r="W96" s="30"/>
      <c r="X96" s="30"/>
      <c r="Y96" s="30"/>
      <c r="Z96" s="30"/>
      <c r="AA96" s="30"/>
      <c r="AB96" s="30"/>
      <c r="AC96" s="2"/>
      <c r="AD96" s="3" t="s">
        <v>143</v>
      </c>
      <c r="AE96" s="3">
        <v>3</v>
      </c>
      <c r="AF96" s="30" t="s">
        <v>37</v>
      </c>
      <c r="AG96" s="30" t="s">
        <v>37</v>
      </c>
      <c r="AH96" s="30">
        <v>1</v>
      </c>
      <c r="AI96" s="30">
        <v>2</v>
      </c>
      <c r="AJ96" s="30">
        <v>0</v>
      </c>
      <c r="AK96" s="32">
        <v>43642</v>
      </c>
      <c r="AL96" s="30">
        <v>10</v>
      </c>
    </row>
    <row r="97" spans="1:38" hidden="1" x14ac:dyDescent="0.25">
      <c r="A97" s="21" t="s">
        <v>19</v>
      </c>
      <c r="B97" s="22" t="s">
        <v>144</v>
      </c>
      <c r="C97" s="3">
        <v>2020</v>
      </c>
      <c r="D97" s="3">
        <v>1</v>
      </c>
      <c r="E97" s="3" t="s">
        <v>37</v>
      </c>
      <c r="F97" s="3" t="s">
        <v>37</v>
      </c>
      <c r="G97" s="30">
        <f t="shared" si="8"/>
        <v>6</v>
      </c>
      <c r="H97" s="27">
        <v>1</v>
      </c>
      <c r="I97" s="21">
        <v>5</v>
      </c>
      <c r="J97" s="24">
        <f t="shared" si="9"/>
        <v>0.16666666666666666</v>
      </c>
      <c r="K97" s="30">
        <v>0.25</v>
      </c>
      <c r="L97" s="27">
        <f t="shared" si="10"/>
        <v>6</v>
      </c>
      <c r="M97" s="27">
        <v>9.25</v>
      </c>
      <c r="N97" s="27"/>
      <c r="O97" s="27">
        <v>80</v>
      </c>
      <c r="P97" s="27">
        <v>0</v>
      </c>
      <c r="Q97" s="27"/>
      <c r="R97" s="27"/>
      <c r="S97" s="27"/>
      <c r="T97" s="30"/>
      <c r="U97" s="30"/>
      <c r="V97" s="30"/>
      <c r="W97" s="30"/>
      <c r="X97" s="30"/>
      <c r="Y97" s="30"/>
      <c r="Z97" s="30"/>
      <c r="AA97" s="30"/>
      <c r="AB97" s="30"/>
      <c r="AC97" s="2"/>
      <c r="AD97" s="3" t="s">
        <v>143</v>
      </c>
      <c r="AE97" s="30" t="s">
        <v>37</v>
      </c>
      <c r="AF97" s="30" t="s">
        <v>37</v>
      </c>
      <c r="AG97" s="30"/>
      <c r="AH97" s="30">
        <v>1</v>
      </c>
      <c r="AI97" s="30">
        <v>2</v>
      </c>
      <c r="AJ97" s="30">
        <v>0</v>
      </c>
      <c r="AK97" s="32">
        <v>43991</v>
      </c>
      <c r="AL97" s="30"/>
    </row>
    <row r="98" spans="1:38" hidden="1" x14ac:dyDescent="0.25">
      <c r="A98" s="27" t="s">
        <v>19</v>
      </c>
      <c r="B98" s="22" t="s">
        <v>144</v>
      </c>
      <c r="C98" s="34">
        <v>2021</v>
      </c>
      <c r="D98" s="34">
        <v>1</v>
      </c>
      <c r="E98" s="30" t="s">
        <v>132</v>
      </c>
      <c r="F98" s="30">
        <v>12</v>
      </c>
      <c r="G98" s="30">
        <f t="shared" si="8"/>
        <v>6</v>
      </c>
      <c r="H98" s="27">
        <v>1</v>
      </c>
      <c r="I98" s="27">
        <v>5</v>
      </c>
      <c r="J98" s="24">
        <f t="shared" si="9"/>
        <v>0.16666666666666666</v>
      </c>
      <c r="K98" s="30">
        <v>0.25</v>
      </c>
      <c r="L98" s="27">
        <f t="shared" si="10"/>
        <v>6</v>
      </c>
      <c r="M98" s="27">
        <f>AVERAGE(W98:Z98)</f>
        <v>13.75</v>
      </c>
      <c r="N98" s="27"/>
      <c r="O98" s="27">
        <v>85</v>
      </c>
      <c r="P98" s="27">
        <v>5</v>
      </c>
      <c r="Q98" s="27">
        <v>10</v>
      </c>
      <c r="R98" s="27">
        <f>4+10</f>
        <v>14</v>
      </c>
      <c r="S98" s="27" t="s">
        <v>133</v>
      </c>
      <c r="T98" s="30"/>
      <c r="U98" s="30"/>
      <c r="V98" s="30"/>
      <c r="W98" s="30">
        <v>11</v>
      </c>
      <c r="X98" s="30">
        <v>14</v>
      </c>
      <c r="Y98" s="30">
        <v>15</v>
      </c>
      <c r="Z98" s="30">
        <v>15</v>
      </c>
      <c r="AA98" s="30"/>
      <c r="AB98" s="30"/>
      <c r="AC98" s="2"/>
      <c r="AD98" s="30" t="s">
        <v>143</v>
      </c>
      <c r="AE98" s="30" t="s">
        <v>37</v>
      </c>
      <c r="AF98" s="30" t="s">
        <v>37</v>
      </c>
      <c r="AG98" s="30" t="s">
        <v>37</v>
      </c>
      <c r="AH98" s="30">
        <v>1</v>
      </c>
      <c r="AI98" s="30">
        <v>2</v>
      </c>
      <c r="AJ98" s="30">
        <v>0</v>
      </c>
      <c r="AK98" s="32">
        <v>44379</v>
      </c>
      <c r="AL98" s="30"/>
    </row>
    <row r="99" spans="1:38" hidden="1" x14ac:dyDescent="0.25">
      <c r="A99" s="47" t="s">
        <v>19</v>
      </c>
      <c r="B99" s="47" t="s">
        <v>144</v>
      </c>
      <c r="C99" s="15">
        <v>2022</v>
      </c>
      <c r="D99" s="15">
        <v>1</v>
      </c>
      <c r="G99" s="14">
        <f t="shared" si="8"/>
        <v>9</v>
      </c>
      <c r="H99" s="19">
        <v>2</v>
      </c>
      <c r="I99" s="19">
        <v>7</v>
      </c>
      <c r="J99" s="24">
        <f t="shared" si="9"/>
        <v>0.22222222222222221</v>
      </c>
      <c r="K99" s="14">
        <v>0.25</v>
      </c>
      <c r="L99" s="19">
        <f t="shared" si="10"/>
        <v>9</v>
      </c>
      <c r="M99" s="19">
        <f>AVERAGE(W99:Z99)</f>
        <v>17.5</v>
      </c>
      <c r="O99" s="19">
        <v>75</v>
      </c>
      <c r="P99" s="19">
        <v>2</v>
      </c>
      <c r="Q99" s="19">
        <v>40</v>
      </c>
      <c r="R99" s="19">
        <v>0</v>
      </c>
      <c r="S99" s="47" t="s">
        <v>37</v>
      </c>
      <c r="T99" s="48" t="s">
        <v>506</v>
      </c>
      <c r="U99" s="14">
        <v>4</v>
      </c>
      <c r="W99" s="14">
        <v>17</v>
      </c>
      <c r="X99" s="14">
        <v>15</v>
      </c>
      <c r="Y99" s="14">
        <v>18</v>
      </c>
      <c r="Z99" s="14">
        <v>20</v>
      </c>
      <c r="AF99" s="48" t="s">
        <v>37</v>
      </c>
      <c r="AK99" s="42">
        <v>44746</v>
      </c>
    </row>
    <row r="100" spans="1:38" hidden="1" x14ac:dyDescent="0.25">
      <c r="A100" s="47" t="s">
        <v>19</v>
      </c>
      <c r="B100" s="47" t="s">
        <v>144</v>
      </c>
      <c r="C100" s="15">
        <v>2023</v>
      </c>
      <c r="D100" s="15">
        <v>1</v>
      </c>
      <c r="G100" s="14">
        <f t="shared" si="8"/>
        <v>10</v>
      </c>
      <c r="H100" s="19">
        <v>1</v>
      </c>
      <c r="I100" s="19">
        <v>9</v>
      </c>
      <c r="J100" s="24">
        <f t="shared" si="9"/>
        <v>0.1</v>
      </c>
      <c r="K100" s="14">
        <v>0.25</v>
      </c>
      <c r="L100" s="19">
        <f t="shared" si="10"/>
        <v>10</v>
      </c>
      <c r="M100" s="19">
        <f>AVERAGE(W100:Z100)</f>
        <v>12</v>
      </c>
      <c r="N100" s="19">
        <f>AVERAGE(AA100:AB100)</f>
        <v>13.5</v>
      </c>
      <c r="O100" s="19">
        <v>70</v>
      </c>
      <c r="P100" s="19">
        <v>1</v>
      </c>
      <c r="Q100" s="19">
        <v>30</v>
      </c>
      <c r="R100" s="56" t="s">
        <v>578</v>
      </c>
      <c r="S100" s="56" t="s">
        <v>579</v>
      </c>
      <c r="T100" s="55" t="s">
        <v>37</v>
      </c>
      <c r="U100" s="14">
        <v>0</v>
      </c>
      <c r="V100" s="55" t="s">
        <v>577</v>
      </c>
      <c r="W100" s="14">
        <v>10</v>
      </c>
      <c r="X100" s="14">
        <v>13</v>
      </c>
      <c r="Y100" s="14">
        <v>14</v>
      </c>
      <c r="Z100" s="14">
        <v>11</v>
      </c>
      <c r="AA100" s="14">
        <v>15</v>
      </c>
      <c r="AB100" s="14">
        <v>12</v>
      </c>
      <c r="AF100" s="48" t="s">
        <v>37</v>
      </c>
      <c r="AK100" s="42">
        <v>45110</v>
      </c>
    </row>
    <row r="101" spans="1:38" hidden="1" x14ac:dyDescent="0.25">
      <c r="A101" s="47" t="s">
        <v>19</v>
      </c>
      <c r="B101" s="47" t="s">
        <v>144</v>
      </c>
      <c r="C101" s="15">
        <v>2024</v>
      </c>
      <c r="D101" s="15">
        <v>1</v>
      </c>
      <c r="E101" s="64" t="s">
        <v>37</v>
      </c>
      <c r="F101" s="64" t="s">
        <v>37</v>
      </c>
      <c r="G101" s="14">
        <f t="shared" si="8"/>
        <v>16</v>
      </c>
      <c r="H101" s="19">
        <v>7</v>
      </c>
      <c r="I101" s="19">
        <v>9</v>
      </c>
      <c r="J101" s="24">
        <f t="shared" si="9"/>
        <v>0.4375</v>
      </c>
      <c r="K101" s="14">
        <v>0.25</v>
      </c>
      <c r="L101" s="19">
        <f t="shared" si="10"/>
        <v>16</v>
      </c>
      <c r="M101" s="19">
        <f>AVERAGE(X101:Z101)</f>
        <v>18</v>
      </c>
      <c r="O101" s="19">
        <v>92</v>
      </c>
      <c r="P101" s="19">
        <v>1</v>
      </c>
      <c r="Q101" s="19">
        <v>2</v>
      </c>
      <c r="W101" s="14">
        <v>20</v>
      </c>
      <c r="X101" s="14">
        <v>18</v>
      </c>
      <c r="Y101" s="14">
        <v>19</v>
      </c>
      <c r="Z101" s="14">
        <v>17</v>
      </c>
    </row>
    <row r="102" spans="1:38" hidden="1" x14ac:dyDescent="0.25">
      <c r="A102" s="21" t="s">
        <v>19</v>
      </c>
      <c r="B102" s="22" t="s">
        <v>146</v>
      </c>
      <c r="C102" s="3">
        <v>2014</v>
      </c>
      <c r="D102" s="3">
        <v>1</v>
      </c>
      <c r="E102" s="3" t="s">
        <v>37</v>
      </c>
      <c r="F102" s="3" t="s">
        <v>37</v>
      </c>
      <c r="G102" s="2">
        <v>44</v>
      </c>
      <c r="H102" s="21">
        <v>25</v>
      </c>
      <c r="I102" s="21">
        <f>G102-H102</f>
        <v>19</v>
      </c>
      <c r="J102" s="24">
        <f t="shared" si="9"/>
        <v>0.56818181818181823</v>
      </c>
      <c r="K102" s="2">
        <v>0.140625</v>
      </c>
      <c r="L102" s="27">
        <f t="shared" si="10"/>
        <v>78.222222222222229</v>
      </c>
      <c r="M102" s="27">
        <v>8</v>
      </c>
      <c r="N102" s="27"/>
      <c r="O102" s="27">
        <v>70</v>
      </c>
      <c r="P102" s="27"/>
      <c r="Q102" s="27"/>
      <c r="R102" s="27"/>
      <c r="S102" s="27"/>
      <c r="T102" s="30"/>
      <c r="U102" s="30"/>
      <c r="V102" s="30"/>
      <c r="W102" s="30"/>
      <c r="X102" s="30"/>
      <c r="Y102" s="30"/>
      <c r="Z102" s="30"/>
      <c r="AA102" s="30"/>
      <c r="AB102" s="30"/>
      <c r="AC102" s="2"/>
      <c r="AD102" s="3" t="s">
        <v>145</v>
      </c>
      <c r="AE102" s="3">
        <v>1.7954545454545454</v>
      </c>
      <c r="AF102" s="2">
        <v>543.13636363636363</v>
      </c>
      <c r="AG102" s="30">
        <v>28.5</v>
      </c>
      <c r="AH102" s="30">
        <v>1</v>
      </c>
      <c r="AI102" s="30">
        <v>2</v>
      </c>
      <c r="AJ102" s="30">
        <v>0</v>
      </c>
      <c r="AK102" s="30"/>
      <c r="AL102" s="30"/>
    </row>
    <row r="103" spans="1:38" hidden="1" x14ac:dyDescent="0.25">
      <c r="A103" s="21" t="s">
        <v>19</v>
      </c>
      <c r="B103" s="22" t="s">
        <v>146</v>
      </c>
      <c r="C103" s="3">
        <v>2015</v>
      </c>
      <c r="D103" s="3">
        <v>1</v>
      </c>
      <c r="E103" s="3" t="s">
        <v>37</v>
      </c>
      <c r="F103" s="3" t="s">
        <v>37</v>
      </c>
      <c r="G103" s="2">
        <v>79</v>
      </c>
      <c r="H103" s="21">
        <v>12</v>
      </c>
      <c r="I103" s="21">
        <f>G103-H103</f>
        <v>67</v>
      </c>
      <c r="J103" s="24">
        <f t="shared" si="9"/>
        <v>0.15189873417721519</v>
      </c>
      <c r="K103" s="2">
        <v>0.140625</v>
      </c>
      <c r="L103" s="27">
        <f t="shared" si="10"/>
        <v>140.44444444444446</v>
      </c>
      <c r="M103" s="27" t="s">
        <v>37</v>
      </c>
      <c r="N103" s="27"/>
      <c r="O103" s="27" t="s">
        <v>37</v>
      </c>
      <c r="P103" s="27"/>
      <c r="Q103" s="27"/>
      <c r="R103" s="27"/>
      <c r="S103" s="27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" t="s">
        <v>145</v>
      </c>
      <c r="AE103" s="3">
        <v>0.92405063291139222</v>
      </c>
      <c r="AF103" s="2">
        <v>663.43037974683546</v>
      </c>
      <c r="AG103" s="30" t="s">
        <v>37</v>
      </c>
      <c r="AH103" s="30">
        <v>1</v>
      </c>
      <c r="AI103" s="30">
        <v>2</v>
      </c>
      <c r="AJ103" s="30">
        <v>0</v>
      </c>
      <c r="AK103" s="30"/>
      <c r="AL103" s="30"/>
    </row>
    <row r="104" spans="1:38" hidden="1" x14ac:dyDescent="0.25">
      <c r="A104" s="21" t="s">
        <v>19</v>
      </c>
      <c r="B104" s="22" t="s">
        <v>146</v>
      </c>
      <c r="C104" s="3">
        <v>2016</v>
      </c>
      <c r="D104" s="3">
        <v>1</v>
      </c>
      <c r="E104" s="3" t="s">
        <v>37</v>
      </c>
      <c r="F104" s="3" t="s">
        <v>37</v>
      </c>
      <c r="G104" s="25">
        <v>73</v>
      </c>
      <c r="H104" s="23">
        <v>18</v>
      </c>
      <c r="I104" s="21">
        <f>G104-H104</f>
        <v>55</v>
      </c>
      <c r="J104" s="24">
        <f t="shared" si="9"/>
        <v>0.24657534246575341</v>
      </c>
      <c r="K104" s="2">
        <v>0.140625</v>
      </c>
      <c r="L104" s="27">
        <f t="shared" si="10"/>
        <v>129.77777777777777</v>
      </c>
      <c r="M104" s="27">
        <v>6.5</v>
      </c>
      <c r="N104" s="27"/>
      <c r="O104" s="27">
        <v>100</v>
      </c>
      <c r="P104" s="27"/>
      <c r="Q104" s="27"/>
      <c r="R104" s="27"/>
      <c r="S104" s="27"/>
      <c r="T104" s="30"/>
      <c r="U104" s="30"/>
      <c r="V104" s="30"/>
      <c r="W104" s="30"/>
      <c r="X104" s="30"/>
      <c r="Y104" s="30"/>
      <c r="Z104" s="30"/>
      <c r="AA104" s="30"/>
      <c r="AB104" s="30"/>
      <c r="AC104" s="2"/>
      <c r="AD104" s="3" t="s">
        <v>145</v>
      </c>
      <c r="AE104" s="3">
        <v>1.0958904109589043</v>
      </c>
      <c r="AF104" s="2">
        <v>815.35599999999999</v>
      </c>
      <c r="AG104" s="30">
        <v>37.825000000000003</v>
      </c>
      <c r="AH104" s="30">
        <v>1</v>
      </c>
      <c r="AI104" s="30">
        <v>2</v>
      </c>
      <c r="AJ104" s="30">
        <v>0</v>
      </c>
      <c r="AK104" s="30"/>
      <c r="AL104" s="30"/>
    </row>
    <row r="105" spans="1:38" hidden="1" x14ac:dyDescent="0.25">
      <c r="A105" s="21" t="s">
        <v>19</v>
      </c>
      <c r="B105" s="22" t="s">
        <v>146</v>
      </c>
      <c r="C105" s="3">
        <v>2017</v>
      </c>
      <c r="D105" s="3">
        <v>1</v>
      </c>
      <c r="E105" s="3" t="s">
        <v>37</v>
      </c>
      <c r="F105" s="3" t="s">
        <v>37</v>
      </c>
      <c r="G105" s="25">
        <v>80</v>
      </c>
      <c r="H105" s="23">
        <v>13</v>
      </c>
      <c r="I105" s="21">
        <f>G105-H105</f>
        <v>67</v>
      </c>
      <c r="J105" s="24">
        <f t="shared" si="9"/>
        <v>0.16250000000000001</v>
      </c>
      <c r="K105" s="2">
        <v>0.140625</v>
      </c>
      <c r="L105" s="27">
        <f t="shared" si="10"/>
        <v>142.22222222222223</v>
      </c>
      <c r="M105" s="27">
        <v>10</v>
      </c>
      <c r="N105" s="27"/>
      <c r="O105" s="27">
        <v>100</v>
      </c>
      <c r="P105" s="27"/>
      <c r="Q105" s="27"/>
      <c r="R105" s="27"/>
      <c r="S105" s="27"/>
      <c r="T105" s="30"/>
      <c r="U105" s="30"/>
      <c r="V105" s="30"/>
      <c r="W105" s="30"/>
      <c r="X105" s="30"/>
      <c r="Y105" s="30"/>
      <c r="Z105" s="30"/>
      <c r="AA105" s="30"/>
      <c r="AB105" s="30"/>
      <c r="AC105" s="2"/>
      <c r="AD105" s="3" t="s">
        <v>145</v>
      </c>
      <c r="AE105" s="3">
        <v>0.17578125</v>
      </c>
      <c r="AF105" s="30">
        <v>982.54430379746839</v>
      </c>
      <c r="AG105" s="30">
        <v>35.35</v>
      </c>
      <c r="AH105" s="30">
        <v>1</v>
      </c>
      <c r="AI105" s="30">
        <v>2</v>
      </c>
      <c r="AJ105" s="30">
        <v>0</v>
      </c>
      <c r="AK105" s="30"/>
      <c r="AL105" s="30"/>
    </row>
    <row r="106" spans="1:38" hidden="1" x14ac:dyDescent="0.25">
      <c r="A106" s="21" t="s">
        <v>19</v>
      </c>
      <c r="B106" s="22" t="s">
        <v>146</v>
      </c>
      <c r="C106" s="3">
        <v>2018</v>
      </c>
      <c r="D106" s="3">
        <v>1</v>
      </c>
      <c r="E106" s="3" t="s">
        <v>37</v>
      </c>
      <c r="F106" s="3" t="s">
        <v>37</v>
      </c>
      <c r="G106" s="30" t="s">
        <v>37</v>
      </c>
      <c r="H106" s="27" t="s">
        <v>37</v>
      </c>
      <c r="I106" s="27" t="s">
        <v>37</v>
      </c>
      <c r="J106" s="27" t="s">
        <v>37</v>
      </c>
      <c r="K106" s="2" t="s">
        <v>37</v>
      </c>
      <c r="L106" s="24" t="s">
        <v>37</v>
      </c>
      <c r="M106" s="27" t="s">
        <v>37</v>
      </c>
      <c r="N106" s="27"/>
      <c r="O106" s="27" t="s">
        <v>37</v>
      </c>
      <c r="P106" s="27"/>
      <c r="Q106" s="27"/>
      <c r="R106" s="27"/>
      <c r="S106" s="27"/>
      <c r="T106" s="30"/>
      <c r="U106" s="30"/>
      <c r="V106" s="30"/>
      <c r="W106" s="30"/>
      <c r="X106" s="30"/>
      <c r="Y106" s="30"/>
      <c r="Z106" s="30"/>
      <c r="AA106" s="30"/>
      <c r="AB106" s="30"/>
      <c r="AC106" s="2"/>
      <c r="AD106" s="3" t="s">
        <v>145</v>
      </c>
      <c r="AE106" s="3" t="s">
        <v>37</v>
      </c>
      <c r="AF106" s="30" t="s">
        <v>37</v>
      </c>
      <c r="AG106" s="30" t="s">
        <v>37</v>
      </c>
      <c r="AH106" s="30">
        <v>1</v>
      </c>
      <c r="AI106" s="30">
        <v>2</v>
      </c>
      <c r="AJ106" s="30">
        <v>0</v>
      </c>
      <c r="AK106" s="30"/>
      <c r="AL106" s="30"/>
    </row>
    <row r="107" spans="1:38" hidden="1" x14ac:dyDescent="0.25">
      <c r="A107" s="21" t="s">
        <v>19</v>
      </c>
      <c r="B107" s="22" t="s">
        <v>146</v>
      </c>
      <c r="C107" s="3">
        <v>2019</v>
      </c>
      <c r="D107" s="3">
        <v>1</v>
      </c>
      <c r="E107" s="3" t="s">
        <v>37</v>
      </c>
      <c r="F107" s="3" t="s">
        <v>37</v>
      </c>
      <c r="G107" s="30">
        <f t="shared" ref="G107:G112" si="11">SUM(H107:I107)</f>
        <v>25</v>
      </c>
      <c r="H107" s="27">
        <v>8</v>
      </c>
      <c r="I107" s="21">
        <v>17</v>
      </c>
      <c r="J107" s="24">
        <f t="shared" ref="J107:J116" si="12">H107/G107</f>
        <v>0.32</v>
      </c>
      <c r="K107" s="30">
        <v>0.25</v>
      </c>
      <c r="L107" s="27">
        <f t="shared" ref="L107:L116" si="13">G107/(K107/0.25)</f>
        <v>25</v>
      </c>
      <c r="M107" s="27">
        <v>12</v>
      </c>
      <c r="N107" s="27"/>
      <c r="O107" s="27">
        <v>85</v>
      </c>
      <c r="P107" s="27">
        <v>2</v>
      </c>
      <c r="Q107" s="27"/>
      <c r="R107" s="27"/>
      <c r="S107" s="27"/>
      <c r="T107" s="30"/>
      <c r="U107" s="30"/>
      <c r="V107" s="30"/>
      <c r="W107" s="30"/>
      <c r="X107" s="30"/>
      <c r="Y107" s="30"/>
      <c r="Z107" s="30"/>
      <c r="AA107" s="30"/>
      <c r="AB107" s="30"/>
      <c r="AC107" s="2"/>
      <c r="AD107" s="3" t="s">
        <v>145</v>
      </c>
      <c r="AE107" s="3">
        <v>0.72</v>
      </c>
      <c r="AF107" s="30" t="s">
        <v>37</v>
      </c>
      <c r="AG107" s="30" t="s">
        <v>37</v>
      </c>
      <c r="AH107" s="30">
        <v>1</v>
      </c>
      <c r="AI107" s="30">
        <v>2</v>
      </c>
      <c r="AJ107" s="30">
        <v>0</v>
      </c>
      <c r="AK107" s="32">
        <v>43642</v>
      </c>
      <c r="AL107" s="30">
        <v>7</v>
      </c>
    </row>
    <row r="108" spans="1:38" hidden="1" x14ac:dyDescent="0.25">
      <c r="A108" s="21" t="s">
        <v>19</v>
      </c>
      <c r="B108" s="22" t="s">
        <v>146</v>
      </c>
      <c r="C108" s="3">
        <v>2020</v>
      </c>
      <c r="D108" s="3">
        <v>1</v>
      </c>
      <c r="E108" s="3" t="s">
        <v>37</v>
      </c>
      <c r="F108" s="3" t="s">
        <v>37</v>
      </c>
      <c r="G108" s="30">
        <f t="shared" si="11"/>
        <v>18</v>
      </c>
      <c r="H108" s="27">
        <v>6</v>
      </c>
      <c r="I108" s="21">
        <v>12</v>
      </c>
      <c r="J108" s="24">
        <f t="shared" si="12"/>
        <v>0.33333333333333331</v>
      </c>
      <c r="K108" s="30">
        <v>0.25</v>
      </c>
      <c r="L108" s="27">
        <f t="shared" si="13"/>
        <v>18</v>
      </c>
      <c r="M108" s="27">
        <v>11</v>
      </c>
      <c r="N108" s="27"/>
      <c r="O108" s="27">
        <v>90</v>
      </c>
      <c r="P108" s="27">
        <v>0</v>
      </c>
      <c r="Q108" s="27"/>
      <c r="R108" s="27"/>
      <c r="S108" s="27"/>
      <c r="T108" s="30"/>
      <c r="U108" s="30"/>
      <c r="V108" s="30"/>
      <c r="W108" s="30"/>
      <c r="X108" s="30"/>
      <c r="Y108" s="30"/>
      <c r="Z108" s="30"/>
      <c r="AA108" s="30"/>
      <c r="AB108" s="30"/>
      <c r="AC108" s="2"/>
      <c r="AD108" s="3" t="s">
        <v>145</v>
      </c>
      <c r="AE108" s="3" t="s">
        <v>37</v>
      </c>
      <c r="AF108" s="30" t="s">
        <v>37</v>
      </c>
      <c r="AG108" s="30"/>
      <c r="AH108" s="30">
        <v>1</v>
      </c>
      <c r="AI108" s="30">
        <v>2</v>
      </c>
      <c r="AJ108" s="30">
        <v>0</v>
      </c>
      <c r="AK108" s="32">
        <v>43991</v>
      </c>
      <c r="AL108" s="30"/>
    </row>
    <row r="109" spans="1:38" hidden="1" x14ac:dyDescent="0.25">
      <c r="A109" s="21" t="s">
        <v>19</v>
      </c>
      <c r="B109" s="22" t="s">
        <v>146</v>
      </c>
      <c r="C109" s="3">
        <v>2021</v>
      </c>
      <c r="D109" s="3">
        <v>1</v>
      </c>
      <c r="E109" s="3" t="s">
        <v>37</v>
      </c>
      <c r="F109" s="3" t="s">
        <v>37</v>
      </c>
      <c r="G109" s="30">
        <f t="shared" si="11"/>
        <v>47</v>
      </c>
      <c r="H109" s="27">
        <v>5</v>
      </c>
      <c r="I109" s="27">
        <v>42</v>
      </c>
      <c r="J109" s="24">
        <f t="shared" si="12"/>
        <v>0.10638297872340426</v>
      </c>
      <c r="K109" s="2">
        <v>0.25</v>
      </c>
      <c r="L109" s="27">
        <f t="shared" si="13"/>
        <v>47</v>
      </c>
      <c r="M109" s="27">
        <f>AVERAGE(W109:Z109)</f>
        <v>16.75</v>
      </c>
      <c r="N109" s="27"/>
      <c r="O109" s="27">
        <v>95</v>
      </c>
      <c r="P109" s="27">
        <v>1</v>
      </c>
      <c r="Q109" s="27">
        <v>5</v>
      </c>
      <c r="R109" s="27">
        <v>10</v>
      </c>
      <c r="S109" s="27" t="s">
        <v>147</v>
      </c>
      <c r="T109" s="30"/>
      <c r="U109" s="30"/>
      <c r="V109" s="30"/>
      <c r="W109" s="5">
        <v>11</v>
      </c>
      <c r="X109" s="5">
        <v>16</v>
      </c>
      <c r="Y109" s="5">
        <v>15</v>
      </c>
      <c r="Z109" s="5">
        <v>25</v>
      </c>
      <c r="AA109" s="5"/>
      <c r="AB109" s="5"/>
      <c r="AC109" s="2"/>
      <c r="AD109" s="3" t="s">
        <v>145</v>
      </c>
      <c r="AE109" s="3" t="s">
        <v>37</v>
      </c>
      <c r="AF109" s="30" t="s">
        <v>37</v>
      </c>
      <c r="AG109" s="30" t="s">
        <v>37</v>
      </c>
      <c r="AH109" s="30">
        <v>1</v>
      </c>
      <c r="AI109" s="30">
        <v>2</v>
      </c>
      <c r="AJ109" s="30">
        <v>0</v>
      </c>
      <c r="AK109" s="32">
        <v>44379</v>
      </c>
      <c r="AL109" s="30"/>
    </row>
    <row r="110" spans="1:38" hidden="1" x14ac:dyDescent="0.25">
      <c r="A110" s="47" t="s">
        <v>19</v>
      </c>
      <c r="B110" s="47" t="s">
        <v>146</v>
      </c>
      <c r="C110" s="15">
        <v>2022</v>
      </c>
      <c r="D110" s="15">
        <v>1</v>
      </c>
      <c r="G110" s="14">
        <f t="shared" si="11"/>
        <v>68</v>
      </c>
      <c r="H110" s="19">
        <v>10</v>
      </c>
      <c r="I110" s="19">
        <v>58</v>
      </c>
      <c r="J110" s="24">
        <f t="shared" si="12"/>
        <v>0.14705882352941177</v>
      </c>
      <c r="K110" s="14">
        <v>0.25</v>
      </c>
      <c r="L110" s="19">
        <f t="shared" si="13"/>
        <v>68</v>
      </c>
      <c r="M110" s="19">
        <f>AVERAGE(W110:Z110)</f>
        <v>21</v>
      </c>
      <c r="O110" s="19">
        <v>85</v>
      </c>
      <c r="P110" s="19">
        <v>1</v>
      </c>
      <c r="Q110" s="19">
        <v>20</v>
      </c>
      <c r="R110" s="19">
        <v>0</v>
      </c>
      <c r="S110" s="47" t="s">
        <v>37</v>
      </c>
      <c r="T110" s="48" t="s">
        <v>506</v>
      </c>
      <c r="U110" s="14">
        <v>8</v>
      </c>
      <c r="W110" s="14">
        <v>7</v>
      </c>
      <c r="X110" s="14">
        <v>22</v>
      </c>
      <c r="Y110" s="14">
        <v>21</v>
      </c>
      <c r="Z110" s="14">
        <v>34</v>
      </c>
      <c r="AF110" s="48" t="s">
        <v>37</v>
      </c>
      <c r="AK110" s="42">
        <v>44746</v>
      </c>
    </row>
    <row r="111" spans="1:38" hidden="1" x14ac:dyDescent="0.25">
      <c r="A111" s="47" t="s">
        <v>19</v>
      </c>
      <c r="B111" s="47" t="s">
        <v>146</v>
      </c>
      <c r="C111" s="15">
        <v>2023</v>
      </c>
      <c r="D111" s="15">
        <v>1</v>
      </c>
      <c r="G111" s="14">
        <f t="shared" si="11"/>
        <v>52</v>
      </c>
      <c r="H111" s="19">
        <v>24</v>
      </c>
      <c r="I111" s="19">
        <v>28</v>
      </c>
      <c r="J111" s="24">
        <f t="shared" si="12"/>
        <v>0.46153846153846156</v>
      </c>
      <c r="K111" s="14">
        <v>0.25</v>
      </c>
      <c r="L111" s="19">
        <f t="shared" si="13"/>
        <v>52</v>
      </c>
      <c r="M111" s="19">
        <f>AVERAGE(W111:Z111)</f>
        <v>11.25</v>
      </c>
      <c r="N111" s="19">
        <f>AVERAGE(AA111:AB111)</f>
        <v>13.75</v>
      </c>
      <c r="O111" s="19">
        <v>99</v>
      </c>
      <c r="P111" s="19">
        <v>0</v>
      </c>
      <c r="Q111" s="19">
        <v>3</v>
      </c>
      <c r="R111" s="56" t="s">
        <v>589</v>
      </c>
      <c r="S111" s="56" t="s">
        <v>574</v>
      </c>
      <c r="T111" s="55" t="s">
        <v>506</v>
      </c>
      <c r="U111" s="14">
        <v>1</v>
      </c>
      <c r="V111" s="55" t="s">
        <v>577</v>
      </c>
      <c r="W111" s="14">
        <v>11</v>
      </c>
      <c r="X111" s="14">
        <v>15</v>
      </c>
      <c r="Y111" s="14">
        <v>5</v>
      </c>
      <c r="Z111" s="14">
        <v>14</v>
      </c>
      <c r="AA111" s="14">
        <v>13.5</v>
      </c>
      <c r="AB111" s="14">
        <v>14</v>
      </c>
      <c r="AF111" s="48" t="s">
        <v>37</v>
      </c>
      <c r="AK111" s="42">
        <v>45110</v>
      </c>
    </row>
    <row r="112" spans="1:38" hidden="1" x14ac:dyDescent="0.25">
      <c r="A112" s="47" t="s">
        <v>19</v>
      </c>
      <c r="B112" s="47" t="s">
        <v>146</v>
      </c>
      <c r="C112" s="15">
        <v>2024</v>
      </c>
      <c r="D112" s="15">
        <v>1</v>
      </c>
      <c r="E112" s="64" t="s">
        <v>37</v>
      </c>
      <c r="F112" s="64" t="s">
        <v>37</v>
      </c>
      <c r="G112" s="14">
        <f t="shared" si="11"/>
        <v>56</v>
      </c>
      <c r="H112" s="19">
        <v>4</v>
      </c>
      <c r="I112" s="19">
        <v>52</v>
      </c>
      <c r="J112" s="24">
        <f t="shared" si="12"/>
        <v>7.1428571428571425E-2</v>
      </c>
      <c r="K112" s="14">
        <v>0.25</v>
      </c>
      <c r="L112" s="19">
        <f t="shared" si="13"/>
        <v>56</v>
      </c>
      <c r="M112" s="19">
        <f>AVERAGE(X112:Z112)</f>
        <v>13.666666666666666</v>
      </c>
      <c r="O112" s="19">
        <v>98</v>
      </c>
      <c r="P112" s="19">
        <v>1</v>
      </c>
      <c r="Q112" s="19">
        <v>2</v>
      </c>
      <c r="W112">
        <v>26</v>
      </c>
      <c r="X112">
        <v>8</v>
      </c>
      <c r="Y112">
        <v>13</v>
      </c>
      <c r="Z112">
        <v>20</v>
      </c>
    </row>
    <row r="113" spans="1:38" hidden="1" x14ac:dyDescent="0.25">
      <c r="A113" s="21" t="s">
        <v>19</v>
      </c>
      <c r="B113" s="22" t="s">
        <v>149</v>
      </c>
      <c r="C113" s="3">
        <v>2014</v>
      </c>
      <c r="D113" s="3">
        <v>1</v>
      </c>
      <c r="E113" s="3" t="s">
        <v>37</v>
      </c>
      <c r="F113" s="3" t="s">
        <v>37</v>
      </c>
      <c r="G113" s="2">
        <v>20</v>
      </c>
      <c r="H113" s="21">
        <v>8</v>
      </c>
      <c r="I113" s="21">
        <f>G113-H113</f>
        <v>12</v>
      </c>
      <c r="J113" s="24">
        <f t="shared" si="12"/>
        <v>0.4</v>
      </c>
      <c r="K113" s="2">
        <v>0.25</v>
      </c>
      <c r="L113" s="27">
        <f t="shared" si="13"/>
        <v>20</v>
      </c>
      <c r="M113" s="27">
        <v>14</v>
      </c>
      <c r="N113" s="27"/>
      <c r="O113" s="27">
        <v>100</v>
      </c>
      <c r="P113" s="27"/>
      <c r="Q113" s="27"/>
      <c r="R113" s="27"/>
      <c r="S113" s="27"/>
      <c r="T113" s="30"/>
      <c r="U113" s="30"/>
      <c r="V113" s="30"/>
      <c r="W113" s="30"/>
      <c r="X113" s="30"/>
      <c r="Y113" s="30"/>
      <c r="Z113" s="30"/>
      <c r="AA113" s="30"/>
      <c r="AB113" s="30"/>
      <c r="AC113" s="2"/>
      <c r="AD113" s="3" t="s">
        <v>148</v>
      </c>
      <c r="AE113" s="3">
        <v>1.55</v>
      </c>
      <c r="AF113" s="2">
        <v>1066.4000000000001</v>
      </c>
      <c r="AG113" s="30">
        <v>36.5</v>
      </c>
      <c r="AH113" s="30">
        <v>1</v>
      </c>
      <c r="AI113" s="30">
        <v>2</v>
      </c>
      <c r="AJ113" s="30">
        <v>0</v>
      </c>
      <c r="AK113" s="30"/>
      <c r="AL113" s="30"/>
    </row>
    <row r="114" spans="1:38" hidden="1" x14ac:dyDescent="0.25">
      <c r="A114" s="21" t="s">
        <v>19</v>
      </c>
      <c r="B114" s="22" t="s">
        <v>149</v>
      </c>
      <c r="C114" s="3">
        <v>2015</v>
      </c>
      <c r="D114" s="3">
        <v>1</v>
      </c>
      <c r="E114" s="3" t="s">
        <v>37</v>
      </c>
      <c r="F114" s="3" t="s">
        <v>37</v>
      </c>
      <c r="G114" s="2">
        <v>31</v>
      </c>
      <c r="H114" s="21">
        <v>19</v>
      </c>
      <c r="I114" s="21">
        <f>G114-H114</f>
        <v>12</v>
      </c>
      <c r="J114" s="24">
        <f t="shared" si="12"/>
        <v>0.61290322580645162</v>
      </c>
      <c r="K114" s="2">
        <v>0.25</v>
      </c>
      <c r="L114" s="27">
        <f t="shared" si="13"/>
        <v>31</v>
      </c>
      <c r="M114" s="27" t="s">
        <v>37</v>
      </c>
      <c r="N114" s="27"/>
      <c r="O114" s="27" t="s">
        <v>37</v>
      </c>
      <c r="P114" s="27"/>
      <c r="Q114" s="27"/>
      <c r="R114" s="27"/>
      <c r="S114" s="27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" t="s">
        <v>148</v>
      </c>
      <c r="AE114" s="3">
        <v>1.064516129032258</v>
      </c>
      <c r="AF114" s="2">
        <v>1269.8387096774193</v>
      </c>
      <c r="AG114" s="30" t="s">
        <v>37</v>
      </c>
      <c r="AH114" s="30">
        <v>1</v>
      </c>
      <c r="AI114" s="30">
        <v>2</v>
      </c>
      <c r="AJ114" s="30">
        <v>0</v>
      </c>
      <c r="AK114" s="30"/>
      <c r="AL114" s="30"/>
    </row>
    <row r="115" spans="1:38" hidden="1" x14ac:dyDescent="0.25">
      <c r="A115" s="21" t="s">
        <v>19</v>
      </c>
      <c r="B115" s="22" t="s">
        <v>149</v>
      </c>
      <c r="C115" s="3">
        <v>2016</v>
      </c>
      <c r="D115" s="3">
        <v>1</v>
      </c>
      <c r="E115" s="3" t="s">
        <v>37</v>
      </c>
      <c r="F115" s="3" t="s">
        <v>37</v>
      </c>
      <c r="G115" s="25">
        <v>33</v>
      </c>
      <c r="H115" s="23">
        <v>21</v>
      </c>
      <c r="I115" s="21">
        <f>G115-H115</f>
        <v>12</v>
      </c>
      <c r="J115" s="24">
        <f t="shared" si="12"/>
        <v>0.63636363636363635</v>
      </c>
      <c r="K115" s="2">
        <v>0.25</v>
      </c>
      <c r="L115" s="27">
        <f t="shared" si="13"/>
        <v>33</v>
      </c>
      <c r="M115" s="27">
        <v>6</v>
      </c>
      <c r="N115" s="27"/>
      <c r="O115" s="27">
        <v>90</v>
      </c>
      <c r="P115" s="27"/>
      <c r="Q115" s="27"/>
      <c r="R115" s="27"/>
      <c r="S115" s="27"/>
      <c r="T115" s="30"/>
      <c r="U115" s="30"/>
      <c r="V115" s="30"/>
      <c r="W115" s="30"/>
      <c r="X115" s="30"/>
      <c r="Y115" s="30"/>
      <c r="Z115" s="30"/>
      <c r="AA115" s="30"/>
      <c r="AB115" s="30"/>
      <c r="AC115" s="2"/>
      <c r="AD115" s="3" t="s">
        <v>148</v>
      </c>
      <c r="AE115" s="3">
        <v>0.93939393939393945</v>
      </c>
      <c r="AF115" s="2">
        <v>1355.364</v>
      </c>
      <c r="AG115" s="30">
        <v>44.325000000000003</v>
      </c>
      <c r="AH115" s="30">
        <v>1</v>
      </c>
      <c r="AI115" s="30">
        <v>2</v>
      </c>
      <c r="AJ115" s="30">
        <v>0</v>
      </c>
      <c r="AK115" s="30"/>
      <c r="AL115" s="30"/>
    </row>
    <row r="116" spans="1:38" hidden="1" x14ac:dyDescent="0.25">
      <c r="A116" s="21" t="s">
        <v>19</v>
      </c>
      <c r="B116" s="22" t="s">
        <v>149</v>
      </c>
      <c r="C116" s="3">
        <v>2017</v>
      </c>
      <c r="D116" s="3">
        <v>1</v>
      </c>
      <c r="E116" s="3" t="s">
        <v>37</v>
      </c>
      <c r="F116" s="3" t="s">
        <v>37</v>
      </c>
      <c r="G116" s="25">
        <v>31</v>
      </c>
      <c r="H116" s="23">
        <v>7</v>
      </c>
      <c r="I116" s="21">
        <f>G116-H116</f>
        <v>24</v>
      </c>
      <c r="J116" s="24">
        <f t="shared" si="12"/>
        <v>0.22580645161290322</v>
      </c>
      <c r="K116" s="2">
        <v>0.25</v>
      </c>
      <c r="L116" s="27">
        <f t="shared" si="13"/>
        <v>31</v>
      </c>
      <c r="M116" s="27">
        <v>8.875</v>
      </c>
      <c r="N116" s="27"/>
      <c r="O116" s="27">
        <v>95</v>
      </c>
      <c r="P116" s="27"/>
      <c r="Q116" s="27"/>
      <c r="R116" s="27"/>
      <c r="S116" s="27"/>
      <c r="T116" s="30"/>
      <c r="U116" s="30"/>
      <c r="V116" s="30"/>
      <c r="W116" s="30"/>
      <c r="X116" s="30"/>
      <c r="Y116" s="30"/>
      <c r="Z116" s="30"/>
      <c r="AA116" s="30"/>
      <c r="AB116" s="30"/>
      <c r="AC116" s="2"/>
      <c r="AD116" s="3" t="s">
        <v>148</v>
      </c>
      <c r="AE116" s="3">
        <v>1.064516129032258</v>
      </c>
      <c r="AF116" s="2">
        <v>969.9677419354839</v>
      </c>
      <c r="AG116" s="30">
        <v>39.25</v>
      </c>
      <c r="AH116" s="30">
        <v>1</v>
      </c>
      <c r="AI116" s="30">
        <v>2</v>
      </c>
      <c r="AJ116" s="30">
        <v>0</v>
      </c>
      <c r="AK116" s="30"/>
      <c r="AL116" s="30"/>
    </row>
    <row r="117" spans="1:38" hidden="1" x14ac:dyDescent="0.25">
      <c r="A117" s="21" t="s">
        <v>19</v>
      </c>
      <c r="B117" s="22" t="s">
        <v>149</v>
      </c>
      <c r="C117" s="3">
        <v>2018</v>
      </c>
      <c r="D117" s="3">
        <v>1</v>
      </c>
      <c r="E117" s="3" t="s">
        <v>37</v>
      </c>
      <c r="F117" s="3" t="s">
        <v>37</v>
      </c>
      <c r="G117" s="30" t="s">
        <v>37</v>
      </c>
      <c r="H117" s="27" t="s">
        <v>37</v>
      </c>
      <c r="I117" s="27" t="s">
        <v>37</v>
      </c>
      <c r="J117" s="27" t="s">
        <v>37</v>
      </c>
      <c r="K117" s="2" t="s">
        <v>37</v>
      </c>
      <c r="L117" s="24" t="s">
        <v>37</v>
      </c>
      <c r="M117" s="27" t="s">
        <v>37</v>
      </c>
      <c r="N117" s="27"/>
      <c r="O117" s="27" t="s">
        <v>37</v>
      </c>
      <c r="P117" s="27"/>
      <c r="Q117" s="27"/>
      <c r="R117" s="27"/>
      <c r="S117" s="27"/>
      <c r="T117" s="30"/>
      <c r="U117" s="30"/>
      <c r="V117" s="30"/>
      <c r="W117" s="30"/>
      <c r="X117" s="30"/>
      <c r="Y117" s="30"/>
      <c r="Z117" s="30"/>
      <c r="AA117" s="30"/>
      <c r="AB117" s="30"/>
      <c r="AC117" s="2"/>
      <c r="AD117" s="3" t="s">
        <v>148</v>
      </c>
      <c r="AE117" s="3" t="s">
        <v>37</v>
      </c>
      <c r="AF117" s="30" t="s">
        <v>37</v>
      </c>
      <c r="AG117" s="30" t="s">
        <v>37</v>
      </c>
      <c r="AH117" s="30">
        <v>1</v>
      </c>
      <c r="AI117" s="30">
        <v>2</v>
      </c>
      <c r="AJ117" s="30">
        <v>0</v>
      </c>
      <c r="AK117" s="30"/>
      <c r="AL117" s="30"/>
    </row>
    <row r="118" spans="1:38" hidden="1" x14ac:dyDescent="0.25">
      <c r="A118" s="21" t="s">
        <v>19</v>
      </c>
      <c r="B118" s="22" t="s">
        <v>149</v>
      </c>
      <c r="C118" s="3">
        <v>2019</v>
      </c>
      <c r="D118" s="3">
        <v>1</v>
      </c>
      <c r="E118" s="3" t="s">
        <v>37</v>
      </c>
      <c r="F118" s="3" t="s">
        <v>37</v>
      </c>
      <c r="G118" s="30">
        <f t="shared" ref="G118:G123" si="14">SUM(H118:I118)</f>
        <v>33</v>
      </c>
      <c r="H118" s="27">
        <v>11</v>
      </c>
      <c r="I118" s="21">
        <v>22</v>
      </c>
      <c r="J118" s="24">
        <f t="shared" ref="J118:J127" si="15">H118/G118</f>
        <v>0.33333333333333331</v>
      </c>
      <c r="K118" s="30">
        <v>0.25</v>
      </c>
      <c r="L118" s="27">
        <f t="shared" ref="L118:L127" si="16">G118/(K118/0.25)</f>
        <v>33</v>
      </c>
      <c r="M118" s="27">
        <v>7.75</v>
      </c>
      <c r="N118" s="27"/>
      <c r="O118" s="27">
        <v>70</v>
      </c>
      <c r="P118" s="27">
        <v>10</v>
      </c>
      <c r="Q118" s="27"/>
      <c r="R118" s="27"/>
      <c r="S118" s="27"/>
      <c r="T118" s="30"/>
      <c r="U118" s="30"/>
      <c r="V118" s="30"/>
      <c r="W118" s="30"/>
      <c r="X118" s="30"/>
      <c r="Y118" s="30"/>
      <c r="Z118" s="30"/>
      <c r="AA118" s="30"/>
      <c r="AB118" s="30"/>
      <c r="AC118" s="2"/>
      <c r="AD118" s="3" t="s">
        <v>148</v>
      </c>
      <c r="AE118" s="3">
        <v>0.12121212121212122</v>
      </c>
      <c r="AF118" s="30" t="s">
        <v>37</v>
      </c>
      <c r="AG118" s="30" t="s">
        <v>37</v>
      </c>
      <c r="AH118" s="30">
        <v>1</v>
      </c>
      <c r="AI118" s="30">
        <v>2</v>
      </c>
      <c r="AJ118" s="30">
        <v>0</v>
      </c>
      <c r="AK118" s="32">
        <v>43642</v>
      </c>
      <c r="AL118" s="30">
        <v>3</v>
      </c>
    </row>
    <row r="119" spans="1:38" hidden="1" x14ac:dyDescent="0.25">
      <c r="A119" s="21" t="s">
        <v>19</v>
      </c>
      <c r="B119" s="22" t="s">
        <v>149</v>
      </c>
      <c r="C119" s="3">
        <v>2020</v>
      </c>
      <c r="D119" s="3">
        <v>1</v>
      </c>
      <c r="E119" s="3" t="s">
        <v>37</v>
      </c>
      <c r="F119" s="3" t="s">
        <v>37</v>
      </c>
      <c r="G119" s="30">
        <f t="shared" si="14"/>
        <v>4</v>
      </c>
      <c r="H119" s="27">
        <v>1</v>
      </c>
      <c r="I119" s="21">
        <v>3</v>
      </c>
      <c r="J119" s="24">
        <f t="shared" si="15"/>
        <v>0.25</v>
      </c>
      <c r="K119" s="30">
        <v>0.25</v>
      </c>
      <c r="L119" s="27">
        <f t="shared" si="16"/>
        <v>4</v>
      </c>
      <c r="M119" s="27">
        <v>9</v>
      </c>
      <c r="N119" s="27"/>
      <c r="O119" s="27">
        <v>95</v>
      </c>
      <c r="P119" s="27">
        <v>0</v>
      </c>
      <c r="Q119" s="27"/>
      <c r="R119" s="27"/>
      <c r="S119" s="27"/>
      <c r="T119" s="30"/>
      <c r="U119" s="30"/>
      <c r="V119" s="30"/>
      <c r="W119" s="30"/>
      <c r="X119" s="30"/>
      <c r="Y119" s="30"/>
      <c r="Z119" s="30"/>
      <c r="AA119" s="30"/>
      <c r="AB119" s="30"/>
      <c r="AC119" s="2"/>
      <c r="AD119" s="3" t="s">
        <v>148</v>
      </c>
      <c r="AE119" s="3" t="s">
        <v>37</v>
      </c>
      <c r="AF119" s="30" t="s">
        <v>37</v>
      </c>
      <c r="AG119" s="30"/>
      <c r="AH119" s="30">
        <v>1</v>
      </c>
      <c r="AI119" s="30">
        <v>2</v>
      </c>
      <c r="AJ119" s="30">
        <v>0</v>
      </c>
      <c r="AK119" s="32">
        <v>43991</v>
      </c>
      <c r="AL119" s="30"/>
    </row>
    <row r="120" spans="1:38" hidden="1" x14ac:dyDescent="0.25">
      <c r="A120" s="27" t="s">
        <v>19</v>
      </c>
      <c r="B120" s="22" t="s">
        <v>149</v>
      </c>
      <c r="C120" s="34">
        <v>2021</v>
      </c>
      <c r="D120" s="34">
        <v>1</v>
      </c>
      <c r="E120" s="30" t="s">
        <v>37</v>
      </c>
      <c r="F120" s="30" t="s">
        <v>37</v>
      </c>
      <c r="G120" s="30">
        <f t="shared" si="14"/>
        <v>4</v>
      </c>
      <c r="H120" s="27">
        <v>1</v>
      </c>
      <c r="I120" s="27">
        <v>3</v>
      </c>
      <c r="J120" s="24">
        <f t="shared" si="15"/>
        <v>0.25</v>
      </c>
      <c r="K120" s="30">
        <v>0.25</v>
      </c>
      <c r="L120" s="27">
        <f t="shared" si="16"/>
        <v>4</v>
      </c>
      <c r="M120" s="27">
        <f>AVERAGE(W120:Z120)</f>
        <v>11.75</v>
      </c>
      <c r="N120" s="27"/>
      <c r="O120" s="27">
        <v>90</v>
      </c>
      <c r="P120" s="27">
        <v>2</v>
      </c>
      <c r="Q120" s="27">
        <v>5</v>
      </c>
      <c r="R120" s="27">
        <f>8+6</f>
        <v>14</v>
      </c>
      <c r="S120" s="27" t="s">
        <v>133</v>
      </c>
      <c r="T120" s="30"/>
      <c r="U120" s="30"/>
      <c r="V120" s="30"/>
      <c r="W120" s="30">
        <v>14</v>
      </c>
      <c r="X120" s="30">
        <v>11</v>
      </c>
      <c r="Y120" s="30">
        <v>13</v>
      </c>
      <c r="Z120" s="30">
        <v>9</v>
      </c>
      <c r="AA120" s="30"/>
      <c r="AB120" s="30"/>
      <c r="AC120" s="2"/>
      <c r="AD120" s="30" t="s">
        <v>148</v>
      </c>
      <c r="AE120" s="30" t="s">
        <v>37</v>
      </c>
      <c r="AF120" s="30" t="s">
        <v>37</v>
      </c>
      <c r="AG120" s="30" t="s">
        <v>37</v>
      </c>
      <c r="AH120" s="30">
        <v>1</v>
      </c>
      <c r="AI120" s="30">
        <v>2</v>
      </c>
      <c r="AJ120" s="30">
        <v>0</v>
      </c>
      <c r="AK120" s="32">
        <v>44379</v>
      </c>
      <c r="AL120" s="30"/>
    </row>
    <row r="121" spans="1:38" hidden="1" x14ac:dyDescent="0.25">
      <c r="A121" s="47" t="s">
        <v>19</v>
      </c>
      <c r="B121" s="47" t="s">
        <v>149</v>
      </c>
      <c r="C121" s="15">
        <v>2022</v>
      </c>
      <c r="D121" s="15">
        <v>1</v>
      </c>
      <c r="G121" s="14">
        <f t="shared" si="14"/>
        <v>14</v>
      </c>
      <c r="H121" s="19">
        <v>4</v>
      </c>
      <c r="I121" s="19">
        <v>10</v>
      </c>
      <c r="J121" s="24">
        <f t="shared" si="15"/>
        <v>0.2857142857142857</v>
      </c>
      <c r="K121" s="14">
        <v>0.25</v>
      </c>
      <c r="L121" s="19">
        <f t="shared" si="16"/>
        <v>14</v>
      </c>
      <c r="M121" s="19">
        <f>AVERAGE(W121:Z121)</f>
        <v>14.5</v>
      </c>
      <c r="O121" s="19">
        <v>90</v>
      </c>
      <c r="P121" s="19">
        <v>35</v>
      </c>
      <c r="Q121" s="19">
        <v>5</v>
      </c>
      <c r="R121" s="19">
        <v>10</v>
      </c>
      <c r="S121" s="47" t="s">
        <v>541</v>
      </c>
      <c r="T121" s="48" t="s">
        <v>506</v>
      </c>
      <c r="U121" s="14">
        <v>8</v>
      </c>
      <c r="W121" s="14">
        <v>11</v>
      </c>
      <c r="X121" s="14">
        <v>22</v>
      </c>
      <c r="Y121" s="14">
        <v>14</v>
      </c>
      <c r="Z121" s="14">
        <v>11</v>
      </c>
      <c r="AF121" s="48" t="s">
        <v>37</v>
      </c>
      <c r="AK121" s="42">
        <v>44746</v>
      </c>
    </row>
    <row r="122" spans="1:38" hidden="1" x14ac:dyDescent="0.25">
      <c r="A122" s="47" t="s">
        <v>19</v>
      </c>
      <c r="B122" s="47" t="s">
        <v>149</v>
      </c>
      <c r="C122" s="15">
        <v>2023</v>
      </c>
      <c r="D122" s="15">
        <v>1</v>
      </c>
      <c r="G122" s="14">
        <f t="shared" si="14"/>
        <v>15</v>
      </c>
      <c r="H122" s="19">
        <v>3</v>
      </c>
      <c r="I122" s="19">
        <v>12</v>
      </c>
      <c r="J122" s="24">
        <f t="shared" si="15"/>
        <v>0.2</v>
      </c>
      <c r="K122" s="14">
        <v>0.25</v>
      </c>
      <c r="L122" s="19">
        <f t="shared" si="16"/>
        <v>15</v>
      </c>
      <c r="M122" s="19">
        <f>AVERAGE(W122:Z122)</f>
        <v>9.75</v>
      </c>
      <c r="N122" s="19">
        <f>AVERAGE(AA122:AB122)</f>
        <v>13</v>
      </c>
      <c r="O122" s="19">
        <v>94</v>
      </c>
      <c r="P122" s="19">
        <v>65</v>
      </c>
      <c r="Q122" s="19">
        <v>6</v>
      </c>
      <c r="R122" s="56" t="s">
        <v>588</v>
      </c>
      <c r="S122" s="56" t="s">
        <v>574</v>
      </c>
      <c r="T122" s="55" t="s">
        <v>37</v>
      </c>
      <c r="U122" s="14">
        <v>0</v>
      </c>
      <c r="V122" s="55" t="s">
        <v>577</v>
      </c>
      <c r="W122" s="14">
        <v>13</v>
      </c>
      <c r="X122" s="14">
        <v>9</v>
      </c>
      <c r="Y122" s="14">
        <v>9</v>
      </c>
      <c r="Z122" s="14">
        <v>8</v>
      </c>
      <c r="AA122" s="14">
        <v>13</v>
      </c>
      <c r="AB122" s="14">
        <v>13</v>
      </c>
      <c r="AF122" s="48" t="s">
        <v>37</v>
      </c>
      <c r="AK122" s="42">
        <v>45110</v>
      </c>
    </row>
    <row r="123" spans="1:38" hidden="1" x14ac:dyDescent="0.25">
      <c r="A123" s="47" t="s">
        <v>19</v>
      </c>
      <c r="B123" s="47" t="s">
        <v>149</v>
      </c>
      <c r="C123" s="15">
        <v>2024</v>
      </c>
      <c r="D123" s="15">
        <v>1</v>
      </c>
      <c r="E123" s="64" t="s">
        <v>37</v>
      </c>
      <c r="F123" s="64" t="s">
        <v>37</v>
      </c>
      <c r="G123" s="14">
        <f t="shared" si="14"/>
        <v>19</v>
      </c>
      <c r="H123" s="19">
        <v>3</v>
      </c>
      <c r="I123" s="19">
        <v>16</v>
      </c>
      <c r="J123" s="24">
        <f t="shared" si="15"/>
        <v>0.15789473684210525</v>
      </c>
      <c r="K123" s="14">
        <v>0.25</v>
      </c>
      <c r="L123" s="19">
        <f t="shared" si="16"/>
        <v>19</v>
      </c>
      <c r="M123" s="19">
        <f>AVERAGE(X123:Z123)</f>
        <v>17.333333333333332</v>
      </c>
      <c r="O123" s="19">
        <v>97</v>
      </c>
      <c r="P123" s="19">
        <v>1</v>
      </c>
      <c r="Q123" s="19">
        <v>2</v>
      </c>
      <c r="W123">
        <v>13</v>
      </c>
      <c r="X123">
        <v>12</v>
      </c>
      <c r="Y123">
        <v>21</v>
      </c>
      <c r="Z123">
        <v>19</v>
      </c>
    </row>
    <row r="124" spans="1:38" hidden="1" x14ac:dyDescent="0.25">
      <c r="A124" s="21" t="s">
        <v>19</v>
      </c>
      <c r="B124" s="22" t="s">
        <v>152</v>
      </c>
      <c r="C124" s="3">
        <v>2014</v>
      </c>
      <c r="D124" s="3">
        <v>1</v>
      </c>
      <c r="E124" s="3" t="s">
        <v>37</v>
      </c>
      <c r="F124" s="3" t="s">
        <v>37</v>
      </c>
      <c r="G124" s="2">
        <v>40</v>
      </c>
      <c r="H124" s="21">
        <v>3</v>
      </c>
      <c r="I124" s="21">
        <f>G124-H124</f>
        <v>37</v>
      </c>
      <c r="J124" s="24">
        <f t="shared" si="15"/>
        <v>7.4999999999999997E-2</v>
      </c>
      <c r="K124" s="2">
        <v>0.140625</v>
      </c>
      <c r="L124" s="27">
        <f t="shared" si="16"/>
        <v>71.111111111111114</v>
      </c>
      <c r="M124" s="27">
        <v>13</v>
      </c>
      <c r="N124" s="27"/>
      <c r="O124" s="27">
        <v>100</v>
      </c>
      <c r="P124" s="27"/>
      <c r="Q124" s="27"/>
      <c r="R124" s="27"/>
      <c r="S124" s="27"/>
      <c r="T124" s="30"/>
      <c r="U124" s="30"/>
      <c r="V124" s="30"/>
      <c r="W124" s="30"/>
      <c r="X124" s="30"/>
      <c r="Y124" s="30"/>
      <c r="Z124" s="30"/>
      <c r="AA124" s="30"/>
      <c r="AB124" s="30"/>
      <c r="AC124" s="2"/>
      <c r="AD124" s="3" t="s">
        <v>151</v>
      </c>
      <c r="AE124" s="3">
        <v>1.4249999999999998</v>
      </c>
      <c r="AF124" s="2">
        <v>507.95</v>
      </c>
      <c r="AG124" s="30">
        <v>34.9</v>
      </c>
      <c r="AH124" s="30">
        <v>1</v>
      </c>
      <c r="AI124" s="30">
        <v>2</v>
      </c>
      <c r="AJ124" s="30">
        <v>0</v>
      </c>
      <c r="AK124" s="30"/>
      <c r="AL124" s="30"/>
    </row>
    <row r="125" spans="1:38" hidden="1" x14ac:dyDescent="0.25">
      <c r="A125" s="21" t="s">
        <v>19</v>
      </c>
      <c r="B125" s="22" t="s">
        <v>152</v>
      </c>
      <c r="C125" s="3">
        <v>2015</v>
      </c>
      <c r="D125" s="3">
        <v>1</v>
      </c>
      <c r="E125" s="3" t="s">
        <v>37</v>
      </c>
      <c r="F125" s="3" t="s">
        <v>37</v>
      </c>
      <c r="G125" s="2">
        <v>57</v>
      </c>
      <c r="H125" s="21">
        <v>5</v>
      </c>
      <c r="I125" s="21">
        <f>G125-H125</f>
        <v>52</v>
      </c>
      <c r="J125" s="24">
        <f t="shared" si="15"/>
        <v>8.771929824561403E-2</v>
      </c>
      <c r="K125" s="2">
        <v>0.140625</v>
      </c>
      <c r="L125" s="27">
        <f t="shared" si="16"/>
        <v>101.33333333333333</v>
      </c>
      <c r="M125" s="27" t="s">
        <v>37</v>
      </c>
      <c r="N125" s="27"/>
      <c r="O125" s="27" t="s">
        <v>37</v>
      </c>
      <c r="P125" s="27"/>
      <c r="Q125" s="27"/>
      <c r="R125" s="27"/>
      <c r="S125" s="27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" t="s">
        <v>151</v>
      </c>
      <c r="AE125" s="3">
        <v>0.94736842105263164</v>
      </c>
      <c r="AF125" s="2">
        <v>669.08771929824559</v>
      </c>
      <c r="AG125" s="30" t="s">
        <v>37</v>
      </c>
      <c r="AH125" s="30">
        <v>1</v>
      </c>
      <c r="AI125" s="30">
        <v>2</v>
      </c>
      <c r="AJ125" s="30">
        <v>0</v>
      </c>
      <c r="AK125" s="30"/>
      <c r="AL125" s="30"/>
    </row>
    <row r="126" spans="1:38" hidden="1" x14ac:dyDescent="0.25">
      <c r="A126" s="21" t="s">
        <v>19</v>
      </c>
      <c r="B126" s="22" t="s">
        <v>152</v>
      </c>
      <c r="C126" s="3">
        <v>2016</v>
      </c>
      <c r="D126" s="3">
        <v>1</v>
      </c>
      <c r="E126" s="3" t="s">
        <v>37</v>
      </c>
      <c r="F126" s="3" t="s">
        <v>37</v>
      </c>
      <c r="G126" s="25">
        <v>54</v>
      </c>
      <c r="H126" s="23">
        <v>7</v>
      </c>
      <c r="I126" s="21">
        <f>G126-H126</f>
        <v>47</v>
      </c>
      <c r="J126" s="24">
        <f t="shared" si="15"/>
        <v>0.12962962962962962</v>
      </c>
      <c r="K126" s="2">
        <v>0.140625</v>
      </c>
      <c r="L126" s="27">
        <f t="shared" si="16"/>
        <v>96</v>
      </c>
      <c r="M126" s="27">
        <v>7.375</v>
      </c>
      <c r="N126" s="27"/>
      <c r="O126" s="27">
        <v>90</v>
      </c>
      <c r="P126" s="27"/>
      <c r="Q126" s="27"/>
      <c r="R126" s="27"/>
      <c r="S126" s="27"/>
      <c r="T126" s="30"/>
      <c r="U126" s="30"/>
      <c r="V126" s="30"/>
      <c r="W126" s="30"/>
      <c r="X126" s="30"/>
      <c r="Y126" s="30"/>
      <c r="Z126" s="30"/>
      <c r="AA126" s="30"/>
      <c r="AB126" s="30"/>
      <c r="AC126" s="2"/>
      <c r="AD126" s="3" t="s">
        <v>151</v>
      </c>
      <c r="AE126" s="3">
        <v>1.2962962962962963</v>
      </c>
      <c r="AF126" s="2">
        <v>771.31479999999999</v>
      </c>
      <c r="AG126" s="30">
        <v>44.024999999999999</v>
      </c>
      <c r="AH126" s="30">
        <v>1</v>
      </c>
      <c r="AI126" s="30">
        <v>2</v>
      </c>
      <c r="AJ126" s="30">
        <v>0</v>
      </c>
      <c r="AK126" s="30"/>
      <c r="AL126" s="30"/>
    </row>
    <row r="127" spans="1:38" hidden="1" x14ac:dyDescent="0.25">
      <c r="A127" s="21" t="s">
        <v>19</v>
      </c>
      <c r="B127" s="22" t="s">
        <v>152</v>
      </c>
      <c r="C127" s="3">
        <v>2017</v>
      </c>
      <c r="D127" s="3">
        <v>1</v>
      </c>
      <c r="E127" s="3" t="s">
        <v>37</v>
      </c>
      <c r="F127" s="3" t="s">
        <v>37</v>
      </c>
      <c r="G127" s="25">
        <v>70</v>
      </c>
      <c r="H127" s="23">
        <v>8</v>
      </c>
      <c r="I127" s="21">
        <f>G127-H127</f>
        <v>62</v>
      </c>
      <c r="J127" s="24">
        <f t="shared" si="15"/>
        <v>0.11428571428571428</v>
      </c>
      <c r="K127" s="2">
        <v>0.140625</v>
      </c>
      <c r="L127" s="27">
        <f t="shared" si="16"/>
        <v>124.44444444444444</v>
      </c>
      <c r="M127" s="27">
        <v>3.75</v>
      </c>
      <c r="N127" s="27"/>
      <c r="O127" s="27">
        <v>70</v>
      </c>
      <c r="P127" s="27"/>
      <c r="Q127" s="27"/>
      <c r="R127" s="27"/>
      <c r="S127" s="27"/>
      <c r="T127" s="30"/>
      <c r="U127" s="30"/>
      <c r="V127" s="30"/>
      <c r="W127" s="30"/>
      <c r="X127" s="30"/>
      <c r="Y127" s="30"/>
      <c r="Z127" s="30"/>
      <c r="AA127" s="30"/>
      <c r="AB127" s="30"/>
      <c r="AC127" s="2"/>
      <c r="AD127" s="3" t="s">
        <v>151</v>
      </c>
      <c r="AE127" s="3">
        <v>0.62678571428571428</v>
      </c>
      <c r="AF127" s="2">
        <v>533.25714285714287</v>
      </c>
      <c r="AG127" s="30">
        <v>43.6</v>
      </c>
      <c r="AH127" s="30">
        <v>1</v>
      </c>
      <c r="AI127" s="30">
        <v>2</v>
      </c>
      <c r="AJ127" s="30">
        <v>0</v>
      </c>
      <c r="AK127" s="30"/>
      <c r="AL127" s="30"/>
    </row>
    <row r="128" spans="1:38" hidden="1" x14ac:dyDescent="0.25">
      <c r="A128" s="21" t="s">
        <v>19</v>
      </c>
      <c r="B128" s="22" t="s">
        <v>152</v>
      </c>
      <c r="C128" s="3">
        <v>2018</v>
      </c>
      <c r="D128" s="3">
        <v>1</v>
      </c>
      <c r="E128" s="3" t="s">
        <v>37</v>
      </c>
      <c r="F128" s="3" t="s">
        <v>37</v>
      </c>
      <c r="G128" s="30" t="s">
        <v>37</v>
      </c>
      <c r="H128" s="27" t="s">
        <v>37</v>
      </c>
      <c r="I128" s="27" t="s">
        <v>37</v>
      </c>
      <c r="J128" s="27" t="s">
        <v>37</v>
      </c>
      <c r="K128" s="2" t="s">
        <v>37</v>
      </c>
      <c r="L128" s="24" t="s">
        <v>37</v>
      </c>
      <c r="M128" s="27" t="s">
        <v>37</v>
      </c>
      <c r="N128" s="27"/>
      <c r="O128" s="27" t="s">
        <v>37</v>
      </c>
      <c r="P128" s="27"/>
      <c r="Q128" s="27"/>
      <c r="R128" s="27"/>
      <c r="S128" s="27"/>
      <c r="T128" s="30"/>
      <c r="U128" s="30"/>
      <c r="V128" s="30"/>
      <c r="W128" s="30"/>
      <c r="X128" s="30"/>
      <c r="Y128" s="30"/>
      <c r="Z128" s="30"/>
      <c r="AA128" s="30"/>
      <c r="AB128" s="30"/>
      <c r="AC128" s="2"/>
      <c r="AD128" s="3" t="s">
        <v>151</v>
      </c>
      <c r="AE128" s="3" t="s">
        <v>37</v>
      </c>
      <c r="AF128" s="30" t="s">
        <v>37</v>
      </c>
      <c r="AG128" s="30" t="s">
        <v>37</v>
      </c>
      <c r="AH128" s="30">
        <v>1</v>
      </c>
      <c r="AI128" s="30">
        <v>2</v>
      </c>
      <c r="AJ128" s="30">
        <v>0</v>
      </c>
      <c r="AK128" s="30"/>
      <c r="AL128" s="30"/>
    </row>
    <row r="129" spans="1:38" hidden="1" x14ac:dyDescent="0.25">
      <c r="A129" s="21" t="s">
        <v>19</v>
      </c>
      <c r="B129" s="22" t="s">
        <v>152</v>
      </c>
      <c r="C129" s="3">
        <v>2019</v>
      </c>
      <c r="D129" s="3">
        <v>1</v>
      </c>
      <c r="E129" s="3" t="s">
        <v>37</v>
      </c>
      <c r="F129" s="3" t="s">
        <v>37</v>
      </c>
      <c r="G129" s="30">
        <f t="shared" ref="G129:G134" si="17">SUM(H129:I129)</f>
        <v>78</v>
      </c>
      <c r="H129" s="27">
        <v>5</v>
      </c>
      <c r="I129" s="21">
        <v>73</v>
      </c>
      <c r="J129" s="24">
        <f t="shared" ref="J129:J138" si="18">H129/G129</f>
        <v>6.4102564102564097E-2</v>
      </c>
      <c r="K129" s="30">
        <v>0.25</v>
      </c>
      <c r="L129" s="27">
        <f t="shared" ref="L129:L138" si="19">G129/(K129/0.25)</f>
        <v>78</v>
      </c>
      <c r="M129" s="27">
        <v>10</v>
      </c>
      <c r="N129" s="27"/>
      <c r="O129" s="27">
        <v>75</v>
      </c>
      <c r="P129" s="27">
        <v>5</v>
      </c>
      <c r="Q129" s="27"/>
      <c r="R129" s="27"/>
      <c r="S129" s="27"/>
      <c r="T129" s="30"/>
      <c r="U129" s="30"/>
      <c r="V129" s="30"/>
      <c r="W129" s="30"/>
      <c r="X129" s="30"/>
      <c r="Y129" s="30"/>
      <c r="Z129" s="30"/>
      <c r="AA129" s="30"/>
      <c r="AB129" s="30"/>
      <c r="AC129" s="2"/>
      <c r="AD129" s="3" t="s">
        <v>151</v>
      </c>
      <c r="AE129" s="3">
        <v>0.82051282051282048</v>
      </c>
      <c r="AF129" s="30" t="s">
        <v>37</v>
      </c>
      <c r="AG129" s="30" t="s">
        <v>37</v>
      </c>
      <c r="AH129" s="30">
        <v>1</v>
      </c>
      <c r="AI129" s="30">
        <v>2</v>
      </c>
      <c r="AJ129" s="30">
        <v>0</v>
      </c>
      <c r="AK129" s="32">
        <v>43642</v>
      </c>
      <c r="AL129" s="30">
        <v>4</v>
      </c>
    </row>
    <row r="130" spans="1:38" hidden="1" x14ac:dyDescent="0.25">
      <c r="A130" s="21" t="s">
        <v>19</v>
      </c>
      <c r="B130" s="22" t="s">
        <v>152</v>
      </c>
      <c r="C130" s="3">
        <v>2020</v>
      </c>
      <c r="D130" s="3">
        <v>1</v>
      </c>
      <c r="E130" s="3" t="s">
        <v>37</v>
      </c>
      <c r="F130" s="3" t="s">
        <v>37</v>
      </c>
      <c r="G130" s="30">
        <f t="shared" si="17"/>
        <v>64</v>
      </c>
      <c r="H130" s="27">
        <v>12</v>
      </c>
      <c r="I130" s="21">
        <v>52</v>
      </c>
      <c r="J130" s="24">
        <f t="shared" si="18"/>
        <v>0.1875</v>
      </c>
      <c r="K130" s="30">
        <v>0.25</v>
      </c>
      <c r="L130" s="27">
        <f t="shared" si="19"/>
        <v>64</v>
      </c>
      <c r="M130" s="27">
        <v>11.25</v>
      </c>
      <c r="N130" s="27"/>
      <c r="O130" s="27">
        <v>90</v>
      </c>
      <c r="P130" s="27">
        <v>0</v>
      </c>
      <c r="Q130" s="27"/>
      <c r="R130" s="27"/>
      <c r="S130" s="27"/>
      <c r="T130" s="30"/>
      <c r="U130" s="30"/>
      <c r="V130" s="30"/>
      <c r="W130" s="30"/>
      <c r="X130" s="30"/>
      <c r="Y130" s="30"/>
      <c r="Z130" s="30"/>
      <c r="AA130" s="30"/>
      <c r="AB130" s="30"/>
      <c r="AC130" s="2"/>
      <c r="AD130" s="3" t="s">
        <v>151</v>
      </c>
      <c r="AE130" s="3" t="s">
        <v>37</v>
      </c>
      <c r="AF130" s="30" t="s">
        <v>37</v>
      </c>
      <c r="AG130" s="30"/>
      <c r="AH130" s="30">
        <v>1</v>
      </c>
      <c r="AI130" s="30">
        <v>2</v>
      </c>
      <c r="AJ130" s="30">
        <v>0</v>
      </c>
      <c r="AK130" s="32">
        <v>43991</v>
      </c>
      <c r="AL130" s="30"/>
    </row>
    <row r="131" spans="1:38" hidden="1" x14ac:dyDescent="0.25">
      <c r="A131" s="27" t="s">
        <v>19</v>
      </c>
      <c r="B131" s="22" t="s">
        <v>152</v>
      </c>
      <c r="C131" s="34">
        <v>2021</v>
      </c>
      <c r="D131" s="34">
        <v>1</v>
      </c>
      <c r="E131" s="30" t="s">
        <v>37</v>
      </c>
      <c r="F131" s="30" t="s">
        <v>37</v>
      </c>
      <c r="G131" s="30">
        <f t="shared" si="17"/>
        <v>99</v>
      </c>
      <c r="H131" s="27">
        <v>20</v>
      </c>
      <c r="I131" s="27">
        <v>79</v>
      </c>
      <c r="J131" s="24">
        <f t="shared" si="18"/>
        <v>0.20202020202020202</v>
      </c>
      <c r="K131" s="30">
        <v>0.25</v>
      </c>
      <c r="L131" s="27">
        <f t="shared" si="19"/>
        <v>99</v>
      </c>
      <c r="M131" s="27">
        <f>AVERAGE(W131:Z131)</f>
        <v>10.75</v>
      </c>
      <c r="N131" s="27"/>
      <c r="O131" s="27">
        <v>85</v>
      </c>
      <c r="P131" s="27">
        <v>5</v>
      </c>
      <c r="Q131" s="27">
        <v>5</v>
      </c>
      <c r="R131" s="27">
        <f>3+6</f>
        <v>9</v>
      </c>
      <c r="S131" s="27" t="s">
        <v>133</v>
      </c>
      <c r="T131" s="30"/>
      <c r="U131" s="30"/>
      <c r="V131" s="30"/>
      <c r="W131" s="30">
        <v>11</v>
      </c>
      <c r="X131" s="30">
        <v>10</v>
      </c>
      <c r="Y131" s="30">
        <v>10</v>
      </c>
      <c r="Z131" s="30">
        <v>12</v>
      </c>
      <c r="AA131" s="30"/>
      <c r="AB131" s="30"/>
      <c r="AC131" s="2"/>
      <c r="AD131" s="30" t="s">
        <v>151</v>
      </c>
      <c r="AE131" s="30" t="s">
        <v>37</v>
      </c>
      <c r="AF131" s="30" t="s">
        <v>37</v>
      </c>
      <c r="AG131" s="30" t="s">
        <v>37</v>
      </c>
      <c r="AH131" s="30">
        <v>1</v>
      </c>
      <c r="AI131" s="30">
        <v>2</v>
      </c>
      <c r="AJ131" s="30">
        <v>0</v>
      </c>
      <c r="AK131" s="32">
        <v>44379</v>
      </c>
      <c r="AL131" s="30"/>
    </row>
    <row r="132" spans="1:38" hidden="1" x14ac:dyDescent="0.25">
      <c r="A132" s="47" t="s">
        <v>19</v>
      </c>
      <c r="B132" s="47" t="s">
        <v>152</v>
      </c>
      <c r="C132" s="15">
        <v>2022</v>
      </c>
      <c r="D132" s="15">
        <v>1</v>
      </c>
      <c r="G132" s="14">
        <f t="shared" si="17"/>
        <v>133</v>
      </c>
      <c r="H132" s="19">
        <v>13</v>
      </c>
      <c r="I132" s="19">
        <v>120</v>
      </c>
      <c r="J132" s="24">
        <f t="shared" si="18"/>
        <v>9.7744360902255634E-2</v>
      </c>
      <c r="K132" s="14">
        <v>0.25</v>
      </c>
      <c r="L132" s="19">
        <f t="shared" si="19"/>
        <v>133</v>
      </c>
      <c r="M132" s="19">
        <f>AVERAGE(W132:Z132)</f>
        <v>25</v>
      </c>
      <c r="O132" s="19">
        <v>92</v>
      </c>
      <c r="P132" s="19">
        <v>35</v>
      </c>
      <c r="Q132" s="19">
        <v>5</v>
      </c>
      <c r="R132" s="19">
        <v>4</v>
      </c>
      <c r="S132" s="47" t="s">
        <v>541</v>
      </c>
      <c r="T132" s="48" t="s">
        <v>506</v>
      </c>
      <c r="U132" s="14">
        <v>5</v>
      </c>
      <c r="W132" s="14">
        <v>11</v>
      </c>
      <c r="X132" s="14">
        <v>15</v>
      </c>
      <c r="Y132" s="14">
        <v>34</v>
      </c>
      <c r="Z132" s="14">
        <v>40</v>
      </c>
      <c r="AF132" s="48" t="s">
        <v>37</v>
      </c>
      <c r="AK132" s="42">
        <v>44746</v>
      </c>
    </row>
    <row r="133" spans="1:38" hidden="1" x14ac:dyDescent="0.25">
      <c r="A133" s="47" t="s">
        <v>19</v>
      </c>
      <c r="B133" s="47" t="s">
        <v>152</v>
      </c>
      <c r="C133" s="15">
        <v>2023</v>
      </c>
      <c r="D133" s="15">
        <v>1</v>
      </c>
      <c r="G133" s="14">
        <f t="shared" si="17"/>
        <v>75</v>
      </c>
      <c r="H133" s="19">
        <v>11</v>
      </c>
      <c r="I133" s="19">
        <v>64</v>
      </c>
      <c r="J133" s="24">
        <f t="shared" si="18"/>
        <v>0.14666666666666667</v>
      </c>
      <c r="K133" s="14">
        <v>0.25</v>
      </c>
      <c r="L133" s="19">
        <f t="shared" si="19"/>
        <v>75</v>
      </c>
      <c r="M133" s="19">
        <f>AVERAGE(W133:Z133)</f>
        <v>12.25</v>
      </c>
      <c r="N133" s="19">
        <f>AVERAGE(AA133:AB133)</f>
        <v>11</v>
      </c>
      <c r="O133" s="19">
        <v>97</v>
      </c>
      <c r="P133" s="19">
        <v>5</v>
      </c>
      <c r="Q133" s="19">
        <v>3</v>
      </c>
      <c r="R133" s="56" t="s">
        <v>586</v>
      </c>
      <c r="S133" s="56" t="s">
        <v>574</v>
      </c>
      <c r="T133" s="55" t="s">
        <v>506</v>
      </c>
      <c r="U133" s="14">
        <v>1</v>
      </c>
      <c r="V133" s="55" t="s">
        <v>577</v>
      </c>
      <c r="W133" s="14">
        <v>10</v>
      </c>
      <c r="X133" s="14">
        <v>12</v>
      </c>
      <c r="Y133" s="14">
        <v>16</v>
      </c>
      <c r="Z133" s="14">
        <v>11</v>
      </c>
      <c r="AA133" s="14">
        <v>10</v>
      </c>
      <c r="AB133" s="14">
        <v>12</v>
      </c>
      <c r="AF133" s="48" t="s">
        <v>37</v>
      </c>
      <c r="AK133" s="42">
        <v>45110</v>
      </c>
    </row>
    <row r="134" spans="1:38" hidden="1" x14ac:dyDescent="0.25">
      <c r="A134" s="47" t="s">
        <v>19</v>
      </c>
      <c r="B134" s="47" t="s">
        <v>152</v>
      </c>
      <c r="C134" s="15">
        <v>2024</v>
      </c>
      <c r="D134" s="15">
        <v>1</v>
      </c>
      <c r="E134" s="64" t="s">
        <v>37</v>
      </c>
      <c r="F134" s="64" t="s">
        <v>37</v>
      </c>
      <c r="G134" s="14">
        <f t="shared" si="17"/>
        <v>76</v>
      </c>
      <c r="H134" s="19">
        <v>12</v>
      </c>
      <c r="I134" s="19">
        <v>64</v>
      </c>
      <c r="J134" s="24">
        <f t="shared" si="18"/>
        <v>0.15789473684210525</v>
      </c>
      <c r="K134" s="14">
        <v>0.25</v>
      </c>
      <c r="L134" s="19">
        <f t="shared" si="19"/>
        <v>76</v>
      </c>
      <c r="M134" s="19">
        <f>AVERAGE(X134:Z134)</f>
        <v>14</v>
      </c>
      <c r="O134" s="19">
        <v>100</v>
      </c>
      <c r="P134" s="19">
        <v>1</v>
      </c>
      <c r="Q134" s="19">
        <v>1</v>
      </c>
      <c r="W134" s="14">
        <v>16</v>
      </c>
      <c r="X134" s="14">
        <v>8</v>
      </c>
      <c r="Y134" s="14">
        <v>14</v>
      </c>
      <c r="Z134" s="14">
        <v>20</v>
      </c>
    </row>
    <row r="135" spans="1:38" hidden="1" x14ac:dyDescent="0.25">
      <c r="A135" s="21" t="s">
        <v>19</v>
      </c>
      <c r="B135" s="22" t="s">
        <v>154</v>
      </c>
      <c r="C135" s="3">
        <v>2014</v>
      </c>
      <c r="D135" s="3">
        <v>1</v>
      </c>
      <c r="E135" s="3" t="s">
        <v>37</v>
      </c>
      <c r="F135" s="3" t="s">
        <v>37</v>
      </c>
      <c r="G135" s="2">
        <v>1</v>
      </c>
      <c r="H135" s="21">
        <v>0</v>
      </c>
      <c r="I135" s="21">
        <f>G135-H135</f>
        <v>1</v>
      </c>
      <c r="J135" s="24">
        <f t="shared" si="18"/>
        <v>0</v>
      </c>
      <c r="K135" s="2">
        <v>0.25</v>
      </c>
      <c r="L135" s="27">
        <f t="shared" si="19"/>
        <v>1</v>
      </c>
      <c r="M135" s="27">
        <v>10</v>
      </c>
      <c r="N135" s="27"/>
      <c r="O135" s="27">
        <v>100</v>
      </c>
      <c r="P135" s="27"/>
      <c r="Q135" s="27"/>
      <c r="R135" s="27"/>
      <c r="S135" s="27"/>
      <c r="T135" s="30"/>
      <c r="U135" s="30"/>
      <c r="V135" s="30"/>
      <c r="W135" s="30"/>
      <c r="X135" s="30"/>
      <c r="Y135" s="30"/>
      <c r="Z135" s="30"/>
      <c r="AA135" s="30"/>
      <c r="AB135" s="30"/>
      <c r="AC135" s="2"/>
      <c r="AD135" s="3" t="s">
        <v>153</v>
      </c>
      <c r="AE135" s="3">
        <v>3</v>
      </c>
      <c r="AF135" s="2">
        <v>900</v>
      </c>
      <c r="AG135" s="30">
        <v>37</v>
      </c>
      <c r="AH135" s="30">
        <v>1</v>
      </c>
      <c r="AI135" s="30">
        <v>2</v>
      </c>
      <c r="AJ135" s="30">
        <v>0</v>
      </c>
      <c r="AK135" s="30"/>
      <c r="AL135" s="30"/>
    </row>
    <row r="136" spans="1:38" hidden="1" x14ac:dyDescent="0.25">
      <c r="A136" s="21" t="s">
        <v>19</v>
      </c>
      <c r="B136" s="22" t="s">
        <v>154</v>
      </c>
      <c r="C136" s="3">
        <v>2015</v>
      </c>
      <c r="D136" s="3">
        <v>1</v>
      </c>
      <c r="E136" s="3" t="s">
        <v>37</v>
      </c>
      <c r="F136" s="3" t="s">
        <v>37</v>
      </c>
      <c r="G136" s="2">
        <v>3</v>
      </c>
      <c r="H136" s="21">
        <v>1</v>
      </c>
      <c r="I136" s="21">
        <f>G136-H136</f>
        <v>2</v>
      </c>
      <c r="J136" s="24">
        <f t="shared" si="18"/>
        <v>0.33333333333333331</v>
      </c>
      <c r="K136" s="2">
        <v>0.25</v>
      </c>
      <c r="L136" s="27">
        <f t="shared" si="19"/>
        <v>3</v>
      </c>
      <c r="M136" s="27" t="s">
        <v>37</v>
      </c>
      <c r="N136" s="27"/>
      <c r="O136" s="27" t="s">
        <v>37</v>
      </c>
      <c r="P136" s="27"/>
      <c r="Q136" s="27"/>
      <c r="R136" s="27"/>
      <c r="S136" s="27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" t="s">
        <v>153</v>
      </c>
      <c r="AE136" s="3">
        <v>1.3333333333333333</v>
      </c>
      <c r="AF136" s="2">
        <v>554.66666666666663</v>
      </c>
      <c r="AG136" s="30" t="s">
        <v>37</v>
      </c>
      <c r="AH136" s="30">
        <v>1</v>
      </c>
      <c r="AI136" s="30">
        <v>2</v>
      </c>
      <c r="AJ136" s="30">
        <v>0</v>
      </c>
      <c r="AK136" s="30"/>
      <c r="AL136" s="30"/>
    </row>
    <row r="137" spans="1:38" hidden="1" x14ac:dyDescent="0.25">
      <c r="A137" s="21" t="s">
        <v>19</v>
      </c>
      <c r="B137" s="22" t="s">
        <v>154</v>
      </c>
      <c r="C137" s="3">
        <v>2016</v>
      </c>
      <c r="D137" s="3">
        <v>1</v>
      </c>
      <c r="E137" s="3" t="s">
        <v>37</v>
      </c>
      <c r="F137" s="3" t="s">
        <v>37</v>
      </c>
      <c r="G137" s="25">
        <v>4</v>
      </c>
      <c r="H137" s="23">
        <v>2</v>
      </c>
      <c r="I137" s="21">
        <f>G137-H137</f>
        <v>2</v>
      </c>
      <c r="J137" s="24">
        <f t="shared" si="18"/>
        <v>0.5</v>
      </c>
      <c r="K137" s="2">
        <v>0.25</v>
      </c>
      <c r="L137" s="27">
        <f t="shared" si="19"/>
        <v>4</v>
      </c>
      <c r="M137" s="27">
        <v>8.5</v>
      </c>
      <c r="N137" s="27"/>
      <c r="O137" s="27">
        <v>95</v>
      </c>
      <c r="P137" s="27"/>
      <c r="Q137" s="27"/>
      <c r="R137" s="27"/>
      <c r="S137" s="27"/>
      <c r="T137" s="30"/>
      <c r="U137" s="30"/>
      <c r="V137" s="30"/>
      <c r="W137" s="30"/>
      <c r="X137" s="30"/>
      <c r="Y137" s="30"/>
      <c r="Z137" s="30"/>
      <c r="AA137" s="30"/>
      <c r="AB137" s="30"/>
      <c r="AC137" s="2"/>
      <c r="AD137" s="3" t="s">
        <v>153</v>
      </c>
      <c r="AE137" s="3">
        <v>2.5</v>
      </c>
      <c r="AF137" s="2">
        <v>1486.25</v>
      </c>
      <c r="AG137" s="30">
        <v>37.049999999999997</v>
      </c>
      <c r="AH137" s="30">
        <v>1</v>
      </c>
      <c r="AI137" s="30">
        <v>2</v>
      </c>
      <c r="AJ137" s="30">
        <v>0</v>
      </c>
      <c r="AK137" s="30"/>
      <c r="AL137" s="30"/>
    </row>
    <row r="138" spans="1:38" hidden="1" x14ac:dyDescent="0.25">
      <c r="A138" s="21" t="s">
        <v>19</v>
      </c>
      <c r="B138" s="22" t="s">
        <v>154</v>
      </c>
      <c r="C138" s="3">
        <v>2017</v>
      </c>
      <c r="D138" s="3">
        <v>1</v>
      </c>
      <c r="E138" s="3" t="s">
        <v>37</v>
      </c>
      <c r="F138" s="3" t="s">
        <v>37</v>
      </c>
      <c r="G138" s="25">
        <v>10</v>
      </c>
      <c r="H138" s="23">
        <v>2</v>
      </c>
      <c r="I138" s="21">
        <f>G138-H138</f>
        <v>8</v>
      </c>
      <c r="J138" s="24">
        <f t="shared" si="18"/>
        <v>0.2</v>
      </c>
      <c r="K138" s="2">
        <v>0.25</v>
      </c>
      <c r="L138" s="27">
        <f t="shared" si="19"/>
        <v>10</v>
      </c>
      <c r="M138" s="27">
        <v>3.75</v>
      </c>
      <c r="N138" s="27"/>
      <c r="O138" s="27">
        <v>70</v>
      </c>
      <c r="P138" s="27"/>
      <c r="Q138" s="27"/>
      <c r="R138" s="27"/>
      <c r="S138" s="27"/>
      <c r="T138" s="30"/>
      <c r="U138" s="30"/>
      <c r="V138" s="30"/>
      <c r="W138" s="30"/>
      <c r="X138" s="30"/>
      <c r="Y138" s="30"/>
      <c r="Z138" s="30"/>
      <c r="AA138" s="30"/>
      <c r="AB138" s="30"/>
      <c r="AC138" s="2"/>
      <c r="AD138" s="3" t="s">
        <v>153</v>
      </c>
      <c r="AE138" s="3">
        <v>0.2</v>
      </c>
      <c r="AF138" s="2">
        <v>828.3</v>
      </c>
      <c r="AG138" s="30">
        <v>39.225000000000001</v>
      </c>
      <c r="AH138" s="30">
        <v>1</v>
      </c>
      <c r="AI138" s="30">
        <v>2</v>
      </c>
      <c r="AJ138" s="30">
        <v>0</v>
      </c>
      <c r="AK138" s="30"/>
      <c r="AL138" s="30"/>
    </row>
    <row r="139" spans="1:38" hidden="1" x14ac:dyDescent="0.25">
      <c r="A139" s="21" t="s">
        <v>19</v>
      </c>
      <c r="B139" s="22" t="s">
        <v>154</v>
      </c>
      <c r="C139" s="3">
        <v>2018</v>
      </c>
      <c r="D139" s="3">
        <v>1</v>
      </c>
      <c r="E139" s="3" t="s">
        <v>37</v>
      </c>
      <c r="F139" s="3" t="s">
        <v>37</v>
      </c>
      <c r="G139" s="30" t="s">
        <v>37</v>
      </c>
      <c r="H139" s="27" t="s">
        <v>37</v>
      </c>
      <c r="I139" s="27" t="s">
        <v>37</v>
      </c>
      <c r="J139" s="27" t="s">
        <v>37</v>
      </c>
      <c r="K139" s="2" t="s">
        <v>37</v>
      </c>
      <c r="L139" s="24" t="s">
        <v>37</v>
      </c>
      <c r="M139" s="27" t="s">
        <v>37</v>
      </c>
      <c r="N139" s="27"/>
      <c r="O139" s="27" t="s">
        <v>37</v>
      </c>
      <c r="P139" s="27"/>
      <c r="Q139" s="27"/>
      <c r="R139" s="27"/>
      <c r="S139" s="27"/>
      <c r="T139" s="30"/>
      <c r="U139" s="30"/>
      <c r="V139" s="30"/>
      <c r="W139" s="30"/>
      <c r="X139" s="30"/>
      <c r="Y139" s="30"/>
      <c r="Z139" s="30"/>
      <c r="AA139" s="30"/>
      <c r="AB139" s="30"/>
      <c r="AC139" s="2"/>
      <c r="AD139" s="3" t="s">
        <v>153</v>
      </c>
      <c r="AE139" s="3" t="s">
        <v>37</v>
      </c>
      <c r="AF139" s="30" t="s">
        <v>37</v>
      </c>
      <c r="AG139" s="30" t="s">
        <v>37</v>
      </c>
      <c r="AH139" s="30">
        <v>1</v>
      </c>
      <c r="AI139" s="30">
        <v>2</v>
      </c>
      <c r="AJ139" s="30">
        <v>0</v>
      </c>
      <c r="AK139" s="30"/>
      <c r="AL139" s="30"/>
    </row>
    <row r="140" spans="1:38" hidden="1" x14ac:dyDescent="0.25">
      <c r="A140" s="21" t="s">
        <v>19</v>
      </c>
      <c r="B140" s="22" t="s">
        <v>154</v>
      </c>
      <c r="C140" s="3">
        <v>2019</v>
      </c>
      <c r="D140" s="3">
        <v>1</v>
      </c>
      <c r="E140" s="3" t="s">
        <v>37</v>
      </c>
      <c r="F140" s="3" t="s">
        <v>37</v>
      </c>
      <c r="G140" s="30">
        <f t="shared" ref="G140:G145" si="20">SUM(H140:I140)</f>
        <v>2</v>
      </c>
      <c r="H140" s="27">
        <v>0</v>
      </c>
      <c r="I140" s="21">
        <v>2</v>
      </c>
      <c r="J140" s="24">
        <f t="shared" ref="J140:J149" si="21">H140/G140</f>
        <v>0</v>
      </c>
      <c r="K140" s="30">
        <v>0.25</v>
      </c>
      <c r="L140" s="27">
        <f t="shared" ref="L140:L149" si="22">G140/(K140/0.25)</f>
        <v>2</v>
      </c>
      <c r="M140" s="27">
        <v>10.5</v>
      </c>
      <c r="N140" s="27"/>
      <c r="O140" s="27">
        <v>70</v>
      </c>
      <c r="P140" s="27">
        <v>2</v>
      </c>
      <c r="Q140" s="27"/>
      <c r="R140" s="27"/>
      <c r="S140" s="27"/>
      <c r="T140" s="30"/>
      <c r="U140" s="30"/>
      <c r="V140" s="30"/>
      <c r="W140" s="30"/>
      <c r="X140" s="30"/>
      <c r="Y140" s="30"/>
      <c r="Z140" s="30"/>
      <c r="AA140" s="30"/>
      <c r="AB140" s="30"/>
      <c r="AC140" s="2"/>
      <c r="AD140" s="3" t="s">
        <v>153</v>
      </c>
      <c r="AE140" s="3">
        <v>2</v>
      </c>
      <c r="AF140" s="30" t="s">
        <v>37</v>
      </c>
      <c r="AG140" s="30" t="s">
        <v>37</v>
      </c>
      <c r="AH140" s="30">
        <v>1</v>
      </c>
      <c r="AI140" s="30">
        <v>2</v>
      </c>
      <c r="AJ140" s="30">
        <v>0</v>
      </c>
      <c r="AK140" s="32">
        <v>43642</v>
      </c>
      <c r="AL140" s="30">
        <v>1</v>
      </c>
    </row>
    <row r="141" spans="1:38" hidden="1" x14ac:dyDescent="0.25">
      <c r="A141" s="21" t="s">
        <v>19</v>
      </c>
      <c r="B141" s="22" t="s">
        <v>154</v>
      </c>
      <c r="C141" s="3">
        <v>2020</v>
      </c>
      <c r="D141" s="3">
        <v>1</v>
      </c>
      <c r="E141" s="3" t="s">
        <v>37</v>
      </c>
      <c r="F141" s="3" t="s">
        <v>37</v>
      </c>
      <c r="G141" s="30">
        <f t="shared" si="20"/>
        <v>4</v>
      </c>
      <c r="H141" s="27">
        <v>3</v>
      </c>
      <c r="I141" s="21">
        <v>1</v>
      </c>
      <c r="J141" s="24">
        <f t="shared" si="21"/>
        <v>0.75</v>
      </c>
      <c r="K141" s="30">
        <v>0.25</v>
      </c>
      <c r="L141" s="27">
        <f t="shared" si="22"/>
        <v>4</v>
      </c>
      <c r="M141" s="27">
        <v>10.5</v>
      </c>
      <c r="N141" s="27"/>
      <c r="O141" s="27">
        <v>80</v>
      </c>
      <c r="P141" s="27">
        <v>10</v>
      </c>
      <c r="Q141" s="27"/>
      <c r="R141" s="27"/>
      <c r="S141" s="27"/>
      <c r="T141" s="30"/>
      <c r="U141" s="30"/>
      <c r="V141" s="30"/>
      <c r="W141" s="30"/>
      <c r="X141" s="30"/>
      <c r="Y141" s="30"/>
      <c r="Z141" s="30"/>
      <c r="AA141" s="30"/>
      <c r="AB141" s="30"/>
      <c r="AC141" s="2"/>
      <c r="AD141" s="3" t="s">
        <v>153</v>
      </c>
      <c r="AE141" s="3" t="s">
        <v>37</v>
      </c>
      <c r="AF141" s="30" t="s">
        <v>37</v>
      </c>
      <c r="AG141" s="30"/>
      <c r="AH141" s="30">
        <v>1</v>
      </c>
      <c r="AI141" s="30">
        <v>2</v>
      </c>
      <c r="AJ141" s="30">
        <v>0</v>
      </c>
      <c r="AK141" s="32">
        <v>43991</v>
      </c>
      <c r="AL141" s="30"/>
    </row>
    <row r="142" spans="1:38" hidden="1" x14ac:dyDescent="0.25">
      <c r="A142" s="27" t="s">
        <v>19</v>
      </c>
      <c r="B142" s="22" t="s">
        <v>154</v>
      </c>
      <c r="C142" s="34">
        <v>2021</v>
      </c>
      <c r="D142" s="34">
        <v>1</v>
      </c>
      <c r="E142" s="30" t="s">
        <v>37</v>
      </c>
      <c r="F142" s="30" t="s">
        <v>37</v>
      </c>
      <c r="G142" s="30">
        <f t="shared" si="20"/>
        <v>6</v>
      </c>
      <c r="H142" s="27">
        <v>1</v>
      </c>
      <c r="I142" s="27">
        <v>5</v>
      </c>
      <c r="J142" s="24">
        <f t="shared" si="21"/>
        <v>0.16666666666666666</v>
      </c>
      <c r="K142" s="30">
        <v>0.25</v>
      </c>
      <c r="L142" s="27">
        <f t="shared" si="22"/>
        <v>6</v>
      </c>
      <c r="M142" s="27">
        <f>AVERAGE(W142:Z142)</f>
        <v>16.25</v>
      </c>
      <c r="N142" s="27"/>
      <c r="O142" s="27">
        <v>95</v>
      </c>
      <c r="P142" s="27">
        <v>5</v>
      </c>
      <c r="Q142" s="27">
        <v>5</v>
      </c>
      <c r="R142" s="27">
        <f>5+2</f>
        <v>7</v>
      </c>
      <c r="S142" s="27" t="s">
        <v>133</v>
      </c>
      <c r="T142" s="30"/>
      <c r="U142" s="30"/>
      <c r="V142" s="30"/>
      <c r="W142" s="30">
        <v>11</v>
      </c>
      <c r="X142" s="30">
        <v>20</v>
      </c>
      <c r="Y142" s="30">
        <v>22</v>
      </c>
      <c r="Z142" s="30">
        <v>12</v>
      </c>
      <c r="AA142" s="30"/>
      <c r="AB142" s="30"/>
      <c r="AC142" s="2"/>
      <c r="AD142" s="30" t="s">
        <v>153</v>
      </c>
      <c r="AE142" s="30" t="s">
        <v>37</v>
      </c>
      <c r="AF142" s="30" t="s">
        <v>37</v>
      </c>
      <c r="AG142" s="30" t="s">
        <v>37</v>
      </c>
      <c r="AH142" s="30">
        <v>1</v>
      </c>
      <c r="AI142" s="30">
        <v>2</v>
      </c>
      <c r="AJ142" s="30">
        <v>0</v>
      </c>
      <c r="AK142" s="32">
        <v>44379</v>
      </c>
      <c r="AL142" s="30"/>
    </row>
    <row r="143" spans="1:38" hidden="1" x14ac:dyDescent="0.25">
      <c r="A143" s="47" t="s">
        <v>19</v>
      </c>
      <c r="B143" s="47" t="s">
        <v>154</v>
      </c>
      <c r="C143" s="15">
        <v>2022</v>
      </c>
      <c r="D143" s="15">
        <v>1</v>
      </c>
      <c r="G143" s="14">
        <f t="shared" si="20"/>
        <v>16</v>
      </c>
      <c r="H143" s="19">
        <v>1</v>
      </c>
      <c r="I143" s="19">
        <v>15</v>
      </c>
      <c r="J143" s="24">
        <f t="shared" si="21"/>
        <v>6.25E-2</v>
      </c>
      <c r="K143" s="14">
        <v>0.25</v>
      </c>
      <c r="L143" s="19">
        <f t="shared" si="22"/>
        <v>16</v>
      </c>
      <c r="M143" s="19">
        <f>AVERAGE(W143:Z143)</f>
        <v>27</v>
      </c>
      <c r="O143" s="19">
        <v>92</v>
      </c>
      <c r="P143" s="19">
        <v>3</v>
      </c>
      <c r="Q143" s="19">
        <v>22</v>
      </c>
      <c r="R143" s="19">
        <v>4</v>
      </c>
      <c r="S143" s="47" t="s">
        <v>541</v>
      </c>
      <c r="T143" s="48" t="s">
        <v>506</v>
      </c>
      <c r="U143" s="14">
        <v>20</v>
      </c>
      <c r="W143" s="14">
        <v>33</v>
      </c>
      <c r="X143" s="14">
        <v>18</v>
      </c>
      <c r="Y143" s="14">
        <v>33</v>
      </c>
      <c r="Z143" s="14">
        <v>24</v>
      </c>
      <c r="AF143" s="48" t="s">
        <v>37</v>
      </c>
      <c r="AK143" s="42">
        <v>44746</v>
      </c>
    </row>
    <row r="144" spans="1:38" hidden="1" x14ac:dyDescent="0.25">
      <c r="A144" s="47" t="s">
        <v>19</v>
      </c>
      <c r="B144" s="47" t="s">
        <v>154</v>
      </c>
      <c r="C144" s="15">
        <v>2023</v>
      </c>
      <c r="D144" s="15">
        <v>1</v>
      </c>
      <c r="G144" s="14">
        <f t="shared" si="20"/>
        <v>15</v>
      </c>
      <c r="H144" s="19">
        <v>1</v>
      </c>
      <c r="I144" s="19">
        <v>14</v>
      </c>
      <c r="J144" s="24">
        <f t="shared" si="21"/>
        <v>6.6666666666666666E-2</v>
      </c>
      <c r="K144" s="14">
        <v>0.25</v>
      </c>
      <c r="L144" s="19">
        <f t="shared" si="22"/>
        <v>15</v>
      </c>
      <c r="M144" s="19">
        <f>AVERAGE(W144:Z144)</f>
        <v>17.25</v>
      </c>
      <c r="N144" s="56" t="s">
        <v>37</v>
      </c>
      <c r="O144" s="19">
        <v>92</v>
      </c>
      <c r="P144" s="56" t="s">
        <v>37</v>
      </c>
      <c r="Q144" s="19">
        <v>40</v>
      </c>
      <c r="R144" s="56" t="s">
        <v>587</v>
      </c>
      <c r="S144" s="56" t="s">
        <v>574</v>
      </c>
      <c r="T144" s="55" t="s">
        <v>506</v>
      </c>
      <c r="U144" s="14">
        <v>1</v>
      </c>
      <c r="V144" s="55" t="s">
        <v>577</v>
      </c>
      <c r="W144" s="14">
        <v>25</v>
      </c>
      <c r="X144" s="14">
        <v>15</v>
      </c>
      <c r="Y144" s="14">
        <v>13</v>
      </c>
      <c r="Z144" s="14">
        <v>16</v>
      </c>
      <c r="AA144" s="55" t="s">
        <v>37</v>
      </c>
      <c r="AB144" s="55" t="s">
        <v>37</v>
      </c>
      <c r="AF144" s="48" t="s">
        <v>37</v>
      </c>
      <c r="AK144" s="42">
        <v>45110</v>
      </c>
    </row>
    <row r="145" spans="1:38" hidden="1" x14ac:dyDescent="0.25">
      <c r="A145" s="47" t="s">
        <v>19</v>
      </c>
      <c r="B145" s="47" t="s">
        <v>154</v>
      </c>
      <c r="C145" s="15">
        <v>2024</v>
      </c>
      <c r="D145" s="15">
        <v>1</v>
      </c>
      <c r="E145" s="64" t="s">
        <v>37</v>
      </c>
      <c r="F145" s="64" t="s">
        <v>37</v>
      </c>
      <c r="G145" s="14">
        <f t="shared" si="20"/>
        <v>27</v>
      </c>
      <c r="H145" s="19">
        <v>11</v>
      </c>
      <c r="I145" s="19">
        <v>16</v>
      </c>
      <c r="J145" s="24">
        <f t="shared" si="21"/>
        <v>0.40740740740740738</v>
      </c>
      <c r="K145" s="14">
        <v>0.25</v>
      </c>
      <c r="L145" s="19">
        <f t="shared" si="22"/>
        <v>27</v>
      </c>
      <c r="M145" s="19">
        <f>AVERAGE(X145:Z145)</f>
        <v>18</v>
      </c>
      <c r="O145" s="19">
        <v>94</v>
      </c>
      <c r="P145" s="19">
        <v>1</v>
      </c>
      <c r="Q145" s="19">
        <v>6</v>
      </c>
      <c r="W145" s="14">
        <v>21</v>
      </c>
      <c r="X145" s="14">
        <v>18</v>
      </c>
      <c r="Y145" s="14">
        <v>15</v>
      </c>
      <c r="Z145" s="14">
        <v>21</v>
      </c>
    </row>
    <row r="146" spans="1:38" hidden="1" x14ac:dyDescent="0.25">
      <c r="A146" s="21" t="s">
        <v>19</v>
      </c>
      <c r="B146" s="22" t="s">
        <v>156</v>
      </c>
      <c r="C146" s="3">
        <v>2014</v>
      </c>
      <c r="D146" s="3">
        <v>1</v>
      </c>
      <c r="E146" s="3" t="s">
        <v>37</v>
      </c>
      <c r="F146" s="3" t="s">
        <v>37</v>
      </c>
      <c r="G146" s="2">
        <v>5</v>
      </c>
      <c r="H146" s="21">
        <v>1</v>
      </c>
      <c r="I146" s="21">
        <f>G146-H146</f>
        <v>4</v>
      </c>
      <c r="J146" s="24">
        <f t="shared" si="21"/>
        <v>0.2</v>
      </c>
      <c r="K146" s="2">
        <v>0.25</v>
      </c>
      <c r="L146" s="27">
        <f t="shared" si="22"/>
        <v>5</v>
      </c>
      <c r="M146" s="27">
        <v>8</v>
      </c>
      <c r="N146" s="27"/>
      <c r="O146" s="27">
        <v>90</v>
      </c>
      <c r="P146" s="27"/>
      <c r="Q146" s="27"/>
      <c r="R146" s="27"/>
      <c r="S146" s="27"/>
      <c r="T146" s="30"/>
      <c r="U146" s="30"/>
      <c r="V146" s="30"/>
      <c r="W146" s="30"/>
      <c r="X146" s="30"/>
      <c r="Y146" s="30"/>
      <c r="Z146" s="30"/>
      <c r="AA146" s="30"/>
      <c r="AB146" s="30"/>
      <c r="AC146" s="2"/>
      <c r="AD146" s="3" t="s">
        <v>155</v>
      </c>
      <c r="AE146" s="3">
        <v>2.2000000000000002</v>
      </c>
      <c r="AF146" s="2">
        <v>1895</v>
      </c>
      <c r="AG146" s="30">
        <v>28.3</v>
      </c>
      <c r="AH146" s="30">
        <v>1</v>
      </c>
      <c r="AI146" s="30">
        <v>2</v>
      </c>
      <c r="AJ146" s="30">
        <v>0</v>
      </c>
      <c r="AK146" s="30"/>
      <c r="AL146" s="30"/>
    </row>
    <row r="147" spans="1:38" hidden="1" x14ac:dyDescent="0.25">
      <c r="A147" s="21" t="s">
        <v>19</v>
      </c>
      <c r="B147" s="22" t="s">
        <v>156</v>
      </c>
      <c r="C147" s="3">
        <v>2015</v>
      </c>
      <c r="D147" s="3">
        <v>1</v>
      </c>
      <c r="E147" s="3" t="s">
        <v>37</v>
      </c>
      <c r="F147" s="3" t="s">
        <v>37</v>
      </c>
      <c r="G147" s="2">
        <v>11</v>
      </c>
      <c r="H147" s="21">
        <v>3</v>
      </c>
      <c r="I147" s="21">
        <f>G147-H147</f>
        <v>8</v>
      </c>
      <c r="J147" s="24">
        <f t="shared" si="21"/>
        <v>0.27272727272727271</v>
      </c>
      <c r="K147" s="2">
        <v>0.25</v>
      </c>
      <c r="L147" s="27">
        <f t="shared" si="22"/>
        <v>11</v>
      </c>
      <c r="M147" s="27" t="s">
        <v>37</v>
      </c>
      <c r="N147" s="27"/>
      <c r="O147" s="27" t="s">
        <v>37</v>
      </c>
      <c r="P147" s="27"/>
      <c r="Q147" s="27"/>
      <c r="R147" s="27"/>
      <c r="S147" s="27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" t="s">
        <v>155</v>
      </c>
      <c r="AE147" s="3">
        <v>0.54545454545454541</v>
      </c>
      <c r="AF147" s="2">
        <v>1484.1818181818182</v>
      </c>
      <c r="AG147" s="30" t="s">
        <v>37</v>
      </c>
      <c r="AH147" s="30">
        <v>1</v>
      </c>
      <c r="AI147" s="30">
        <v>2</v>
      </c>
      <c r="AJ147" s="30">
        <v>0</v>
      </c>
      <c r="AK147" s="30"/>
      <c r="AL147" s="30"/>
    </row>
    <row r="148" spans="1:38" hidden="1" x14ac:dyDescent="0.25">
      <c r="A148" s="21" t="s">
        <v>19</v>
      </c>
      <c r="B148" s="22" t="s">
        <v>156</v>
      </c>
      <c r="C148" s="3">
        <v>2016</v>
      </c>
      <c r="D148" s="3">
        <v>1</v>
      </c>
      <c r="E148" s="3" t="s">
        <v>37</v>
      </c>
      <c r="F148" s="3" t="s">
        <v>37</v>
      </c>
      <c r="G148" s="25">
        <v>6</v>
      </c>
      <c r="H148" s="23">
        <v>1</v>
      </c>
      <c r="I148" s="21">
        <f>G148-H148</f>
        <v>5</v>
      </c>
      <c r="J148" s="24">
        <f t="shared" si="21"/>
        <v>0.16666666666666666</v>
      </c>
      <c r="K148" s="2">
        <v>0.25</v>
      </c>
      <c r="L148" s="27">
        <f t="shared" si="22"/>
        <v>6</v>
      </c>
      <c r="M148" s="27">
        <v>7.5</v>
      </c>
      <c r="N148" s="27"/>
      <c r="O148" s="27">
        <v>80</v>
      </c>
      <c r="P148" s="27"/>
      <c r="Q148" s="27"/>
      <c r="R148" s="27"/>
      <c r="S148" s="27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" t="s">
        <v>155</v>
      </c>
      <c r="AE148" s="3">
        <v>1.8333333333333333</v>
      </c>
      <c r="AF148" s="2">
        <v>752.66669999999999</v>
      </c>
      <c r="AG148" s="30">
        <v>44.5</v>
      </c>
      <c r="AH148" s="30">
        <v>1</v>
      </c>
      <c r="AI148" s="30">
        <v>2</v>
      </c>
      <c r="AJ148" s="30">
        <v>0</v>
      </c>
      <c r="AK148" s="30"/>
      <c r="AL148" s="30"/>
    </row>
    <row r="149" spans="1:38" hidden="1" x14ac:dyDescent="0.25">
      <c r="A149" s="21" t="s">
        <v>19</v>
      </c>
      <c r="B149" s="22" t="s">
        <v>156</v>
      </c>
      <c r="C149" s="3">
        <v>2017</v>
      </c>
      <c r="D149" s="3">
        <v>1</v>
      </c>
      <c r="E149" s="3" t="s">
        <v>37</v>
      </c>
      <c r="F149" s="3" t="s">
        <v>37</v>
      </c>
      <c r="G149" s="25">
        <v>11</v>
      </c>
      <c r="H149" s="23">
        <v>0</v>
      </c>
      <c r="I149" s="21">
        <f>G149-H149</f>
        <v>11</v>
      </c>
      <c r="J149" s="24">
        <f t="shared" si="21"/>
        <v>0</v>
      </c>
      <c r="K149" s="2">
        <v>0.25</v>
      </c>
      <c r="L149" s="27">
        <f t="shared" si="22"/>
        <v>11</v>
      </c>
      <c r="M149" s="27">
        <v>7.5</v>
      </c>
      <c r="N149" s="27"/>
      <c r="O149" s="27">
        <v>80</v>
      </c>
      <c r="P149" s="27"/>
      <c r="Q149" s="27"/>
      <c r="R149" s="27"/>
      <c r="S149" s="27"/>
      <c r="T149" s="30"/>
      <c r="U149" s="30"/>
      <c r="V149" s="30"/>
      <c r="W149" s="30"/>
      <c r="X149" s="30"/>
      <c r="Y149" s="30"/>
      <c r="Z149" s="30"/>
      <c r="AA149" s="30"/>
      <c r="AB149" s="30"/>
      <c r="AC149" s="2"/>
      <c r="AD149" s="3" t="s">
        <v>155</v>
      </c>
      <c r="AE149" s="3">
        <v>0.63636363636363635</v>
      </c>
      <c r="AF149" s="2">
        <v>724</v>
      </c>
      <c r="AG149" s="30">
        <v>38.375</v>
      </c>
      <c r="AH149" s="30">
        <v>1</v>
      </c>
      <c r="AI149" s="30">
        <v>2</v>
      </c>
      <c r="AJ149" s="30">
        <v>0</v>
      </c>
      <c r="AK149" s="30"/>
      <c r="AL149" s="30"/>
    </row>
    <row r="150" spans="1:38" hidden="1" x14ac:dyDescent="0.25">
      <c r="A150" s="21" t="s">
        <v>19</v>
      </c>
      <c r="B150" s="22" t="s">
        <v>156</v>
      </c>
      <c r="C150" s="3">
        <v>2018</v>
      </c>
      <c r="D150" s="3">
        <v>1</v>
      </c>
      <c r="E150" s="3" t="s">
        <v>37</v>
      </c>
      <c r="F150" s="3" t="s">
        <v>37</v>
      </c>
      <c r="G150" s="30" t="s">
        <v>37</v>
      </c>
      <c r="H150" s="27" t="s">
        <v>37</v>
      </c>
      <c r="I150" s="27" t="s">
        <v>37</v>
      </c>
      <c r="J150" s="27" t="s">
        <v>37</v>
      </c>
      <c r="K150" s="2" t="s">
        <v>37</v>
      </c>
      <c r="L150" s="24" t="s">
        <v>37</v>
      </c>
      <c r="M150" s="27" t="s">
        <v>37</v>
      </c>
      <c r="N150" s="27"/>
      <c r="O150" s="27" t="s">
        <v>37</v>
      </c>
      <c r="P150" s="27"/>
      <c r="Q150" s="27"/>
      <c r="R150" s="27"/>
      <c r="S150" s="27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" t="s">
        <v>155</v>
      </c>
      <c r="AE150" s="3" t="s">
        <v>37</v>
      </c>
      <c r="AF150" s="30" t="s">
        <v>37</v>
      </c>
      <c r="AG150" s="30" t="s">
        <v>37</v>
      </c>
      <c r="AH150" s="30">
        <v>1</v>
      </c>
      <c r="AI150" s="30">
        <v>2</v>
      </c>
      <c r="AJ150" s="30">
        <v>0</v>
      </c>
      <c r="AK150" s="30"/>
      <c r="AL150" s="30"/>
    </row>
    <row r="151" spans="1:38" hidden="1" x14ac:dyDescent="0.25">
      <c r="A151" s="21" t="s">
        <v>19</v>
      </c>
      <c r="B151" s="22" t="s">
        <v>156</v>
      </c>
      <c r="C151" s="3">
        <v>2019</v>
      </c>
      <c r="D151" s="3">
        <v>1</v>
      </c>
      <c r="E151" s="3" t="s">
        <v>37</v>
      </c>
      <c r="F151" s="3" t="s">
        <v>37</v>
      </c>
      <c r="G151" s="30">
        <f t="shared" ref="G151:G156" si="23">SUM(H151:I151)</f>
        <v>7</v>
      </c>
      <c r="H151" s="27">
        <v>1</v>
      </c>
      <c r="I151" s="21">
        <v>6</v>
      </c>
      <c r="J151" s="24">
        <f t="shared" ref="J151:J160" si="24">H151/G151</f>
        <v>0.14285714285714285</v>
      </c>
      <c r="K151" s="30">
        <v>0.25</v>
      </c>
      <c r="L151" s="27">
        <f t="shared" ref="L151:L160" si="25">G151/(K151/0.25)</f>
        <v>7</v>
      </c>
      <c r="M151" s="27">
        <v>14.25</v>
      </c>
      <c r="N151" s="27"/>
      <c r="O151" s="27">
        <v>45</v>
      </c>
      <c r="P151" s="27">
        <v>2</v>
      </c>
      <c r="Q151" s="27"/>
      <c r="R151" s="27"/>
      <c r="S151" s="27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" t="s">
        <v>155</v>
      </c>
      <c r="AE151" s="3">
        <v>1.4285714285714286</v>
      </c>
      <c r="AF151" s="30" t="s">
        <v>37</v>
      </c>
      <c r="AG151" s="30" t="s">
        <v>37</v>
      </c>
      <c r="AH151" s="30">
        <v>1</v>
      </c>
      <c r="AI151" s="30">
        <v>2</v>
      </c>
      <c r="AJ151" s="30">
        <v>0</v>
      </c>
      <c r="AK151" s="32">
        <v>43642</v>
      </c>
      <c r="AL151" s="30">
        <v>9</v>
      </c>
    </row>
    <row r="152" spans="1:38" hidden="1" x14ac:dyDescent="0.25">
      <c r="A152" s="21" t="s">
        <v>19</v>
      </c>
      <c r="B152" s="22" t="s">
        <v>156</v>
      </c>
      <c r="C152" s="3">
        <v>2020</v>
      </c>
      <c r="D152" s="3">
        <v>1</v>
      </c>
      <c r="E152" s="3" t="s">
        <v>37</v>
      </c>
      <c r="F152" s="3" t="s">
        <v>37</v>
      </c>
      <c r="G152" s="30">
        <f t="shared" si="23"/>
        <v>10</v>
      </c>
      <c r="H152" s="27">
        <v>0</v>
      </c>
      <c r="I152" s="21">
        <v>10</v>
      </c>
      <c r="J152" s="24">
        <f t="shared" si="24"/>
        <v>0</v>
      </c>
      <c r="K152" s="30">
        <v>0.25</v>
      </c>
      <c r="L152" s="27">
        <f t="shared" si="25"/>
        <v>10</v>
      </c>
      <c r="M152" s="27">
        <v>16</v>
      </c>
      <c r="N152" s="27"/>
      <c r="O152" s="27">
        <v>90</v>
      </c>
      <c r="P152" s="27">
        <v>5</v>
      </c>
      <c r="Q152" s="27"/>
      <c r="R152" s="27"/>
      <c r="S152" s="27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" t="s">
        <v>155</v>
      </c>
      <c r="AE152" s="3" t="s">
        <v>37</v>
      </c>
      <c r="AF152" s="30" t="s">
        <v>37</v>
      </c>
      <c r="AG152" s="30"/>
      <c r="AH152" s="30">
        <v>1</v>
      </c>
      <c r="AI152" s="30">
        <v>2</v>
      </c>
      <c r="AJ152" s="30">
        <v>0</v>
      </c>
      <c r="AK152" s="32">
        <v>43991</v>
      </c>
      <c r="AL152" s="30"/>
    </row>
    <row r="153" spans="1:38" hidden="1" x14ac:dyDescent="0.25">
      <c r="A153" s="27" t="s">
        <v>19</v>
      </c>
      <c r="B153" s="22" t="s">
        <v>156</v>
      </c>
      <c r="C153" s="34">
        <v>2021</v>
      </c>
      <c r="D153" s="34">
        <v>1</v>
      </c>
      <c r="E153" s="30" t="s">
        <v>37</v>
      </c>
      <c r="F153" s="30" t="s">
        <v>37</v>
      </c>
      <c r="G153" s="30">
        <f t="shared" si="23"/>
        <v>9</v>
      </c>
      <c r="H153" s="27">
        <v>5</v>
      </c>
      <c r="I153" s="27">
        <v>4</v>
      </c>
      <c r="J153" s="24">
        <f t="shared" si="24"/>
        <v>0.55555555555555558</v>
      </c>
      <c r="K153" s="30">
        <v>0.25</v>
      </c>
      <c r="L153" s="27">
        <f t="shared" si="25"/>
        <v>9</v>
      </c>
      <c r="M153" s="27">
        <f>AVERAGE(W153:Z153)</f>
        <v>16.75</v>
      </c>
      <c r="N153" s="27"/>
      <c r="O153" s="27">
        <v>95</v>
      </c>
      <c r="P153" s="27">
        <v>1</v>
      </c>
      <c r="Q153" s="27">
        <v>5</v>
      </c>
      <c r="R153" s="27">
        <f>10+8</f>
        <v>18</v>
      </c>
      <c r="S153" s="27" t="s">
        <v>133</v>
      </c>
      <c r="T153" s="30" t="s">
        <v>157</v>
      </c>
      <c r="U153" s="30">
        <v>5</v>
      </c>
      <c r="V153" s="30"/>
      <c r="W153" s="30">
        <v>22</v>
      </c>
      <c r="X153" s="30">
        <v>10</v>
      </c>
      <c r="Y153" s="30">
        <v>20</v>
      </c>
      <c r="Z153" s="30">
        <v>15</v>
      </c>
      <c r="AA153" s="30"/>
      <c r="AB153" s="30"/>
      <c r="AC153" s="2"/>
      <c r="AD153" s="30" t="s">
        <v>155</v>
      </c>
      <c r="AE153" s="30" t="s">
        <v>37</v>
      </c>
      <c r="AF153" s="30" t="s">
        <v>37</v>
      </c>
      <c r="AG153" s="30" t="s">
        <v>37</v>
      </c>
      <c r="AH153" s="30">
        <v>1</v>
      </c>
      <c r="AI153" s="30">
        <v>2</v>
      </c>
      <c r="AJ153" s="30">
        <v>0</v>
      </c>
      <c r="AK153" s="32">
        <v>44379</v>
      </c>
      <c r="AL153" s="30"/>
    </row>
    <row r="154" spans="1:38" hidden="1" x14ac:dyDescent="0.25">
      <c r="A154" s="47" t="s">
        <v>19</v>
      </c>
      <c r="B154" s="47" t="s">
        <v>156</v>
      </c>
      <c r="C154" s="15">
        <v>2022</v>
      </c>
      <c r="D154" s="15">
        <v>1</v>
      </c>
      <c r="G154" s="14">
        <f t="shared" si="23"/>
        <v>6</v>
      </c>
      <c r="H154" s="19">
        <v>0</v>
      </c>
      <c r="I154" s="19">
        <v>6</v>
      </c>
      <c r="J154" s="24">
        <f t="shared" si="24"/>
        <v>0</v>
      </c>
      <c r="K154" s="14">
        <v>0.25</v>
      </c>
      <c r="L154" s="19">
        <f t="shared" si="25"/>
        <v>6</v>
      </c>
      <c r="M154" s="19">
        <f>AVERAGE(W154:Z154)</f>
        <v>27.25</v>
      </c>
      <c r="O154" s="19">
        <v>100</v>
      </c>
      <c r="P154" s="19">
        <v>0</v>
      </c>
      <c r="Q154" s="19">
        <v>15</v>
      </c>
      <c r="R154" s="19">
        <v>10</v>
      </c>
      <c r="S154" s="47" t="s">
        <v>541</v>
      </c>
      <c r="T154" s="48" t="s">
        <v>544</v>
      </c>
      <c r="U154" s="14">
        <v>12</v>
      </c>
      <c r="W154" s="14">
        <v>32</v>
      </c>
      <c r="X154" s="14">
        <v>27</v>
      </c>
      <c r="Y154" s="14">
        <v>22</v>
      </c>
      <c r="Z154" s="14">
        <v>28</v>
      </c>
      <c r="AF154" s="48" t="s">
        <v>37</v>
      </c>
      <c r="AK154" s="42">
        <v>44746</v>
      </c>
    </row>
    <row r="155" spans="1:38" hidden="1" x14ac:dyDescent="0.25">
      <c r="A155" s="47" t="s">
        <v>19</v>
      </c>
      <c r="B155" s="47" t="s">
        <v>156</v>
      </c>
      <c r="C155" s="15">
        <v>2023</v>
      </c>
      <c r="D155" s="15">
        <v>1</v>
      </c>
      <c r="G155" s="14">
        <f t="shared" si="23"/>
        <v>8</v>
      </c>
      <c r="H155" s="19">
        <v>0</v>
      </c>
      <c r="I155" s="19">
        <v>8</v>
      </c>
      <c r="J155" s="24">
        <f t="shared" si="24"/>
        <v>0</v>
      </c>
      <c r="K155" s="14">
        <v>0.25</v>
      </c>
      <c r="L155" s="19">
        <f t="shared" si="25"/>
        <v>8</v>
      </c>
      <c r="M155" s="19">
        <f>AVERAGE(W155:Z155)</f>
        <v>16.75</v>
      </c>
      <c r="N155" s="19">
        <f>AVERAGE(AA155:AB155)</f>
        <v>15.25</v>
      </c>
      <c r="O155" s="19">
        <v>90</v>
      </c>
      <c r="P155" s="19">
        <v>2</v>
      </c>
      <c r="Q155" s="19">
        <v>15</v>
      </c>
      <c r="R155" s="56" t="s">
        <v>573</v>
      </c>
      <c r="S155" s="56" t="s">
        <v>574</v>
      </c>
      <c r="T155" s="55" t="s">
        <v>575</v>
      </c>
      <c r="U155" s="55" t="s">
        <v>576</v>
      </c>
      <c r="V155" s="55" t="s">
        <v>577</v>
      </c>
      <c r="W155" s="14">
        <v>15</v>
      </c>
      <c r="X155" s="14">
        <v>20</v>
      </c>
      <c r="Y155" s="14">
        <v>13</v>
      </c>
      <c r="Z155" s="14">
        <v>19</v>
      </c>
      <c r="AA155" s="14">
        <v>16.5</v>
      </c>
      <c r="AB155" s="14">
        <v>14</v>
      </c>
      <c r="AF155" s="48" t="s">
        <v>37</v>
      </c>
      <c r="AH155" s="14">
        <v>1</v>
      </c>
      <c r="AK155" s="42">
        <v>45110</v>
      </c>
    </row>
    <row r="156" spans="1:38" hidden="1" x14ac:dyDescent="0.25">
      <c r="A156" s="47" t="s">
        <v>19</v>
      </c>
      <c r="B156" s="47" t="s">
        <v>156</v>
      </c>
      <c r="C156" s="15">
        <v>2024</v>
      </c>
      <c r="D156" s="15">
        <v>1</v>
      </c>
      <c r="E156" s="64" t="s">
        <v>37</v>
      </c>
      <c r="F156" s="64" t="s">
        <v>37</v>
      </c>
      <c r="G156" s="14">
        <f t="shared" si="23"/>
        <v>13</v>
      </c>
      <c r="H156" s="19">
        <v>5</v>
      </c>
      <c r="I156" s="19">
        <v>8</v>
      </c>
      <c r="J156" s="24">
        <f t="shared" si="24"/>
        <v>0.38461538461538464</v>
      </c>
      <c r="K156" s="14">
        <v>0.25</v>
      </c>
      <c r="L156" s="19">
        <f t="shared" si="25"/>
        <v>13</v>
      </c>
      <c r="M156" s="19">
        <f>AVERAGE(X156:Z156)</f>
        <v>18.666666666666668</v>
      </c>
      <c r="O156" s="19">
        <v>95</v>
      </c>
      <c r="P156" s="19">
        <v>2</v>
      </c>
      <c r="Q156" s="19">
        <v>5</v>
      </c>
      <c r="W156" s="14">
        <v>22</v>
      </c>
      <c r="X156" s="14">
        <v>22</v>
      </c>
      <c r="Y156" s="14">
        <v>16</v>
      </c>
      <c r="Z156" s="14">
        <v>18</v>
      </c>
    </row>
    <row r="157" spans="1:38" hidden="1" x14ac:dyDescent="0.25">
      <c r="A157" s="21" t="s">
        <v>19</v>
      </c>
      <c r="B157" s="22" t="s">
        <v>159</v>
      </c>
      <c r="C157" s="3">
        <v>2014</v>
      </c>
      <c r="D157" s="3">
        <v>1</v>
      </c>
      <c r="E157" s="3" t="s">
        <v>37</v>
      </c>
      <c r="F157" s="3" t="s">
        <v>37</v>
      </c>
      <c r="G157" s="2">
        <v>61</v>
      </c>
      <c r="H157" s="21">
        <v>18</v>
      </c>
      <c r="I157" s="21">
        <f>G157-H157</f>
        <v>43</v>
      </c>
      <c r="J157" s="24">
        <f t="shared" si="24"/>
        <v>0.29508196721311475</v>
      </c>
      <c r="K157" s="2">
        <v>0.140625</v>
      </c>
      <c r="L157" s="27">
        <f t="shared" si="25"/>
        <v>108.44444444444444</v>
      </c>
      <c r="M157" s="27">
        <v>11</v>
      </c>
      <c r="N157" s="27"/>
      <c r="O157" s="27">
        <v>95</v>
      </c>
      <c r="P157" s="27"/>
      <c r="Q157" s="27"/>
      <c r="R157" s="27"/>
      <c r="S157" s="27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" t="s">
        <v>158</v>
      </c>
      <c r="AE157" s="3">
        <v>1.6557377049180326</v>
      </c>
      <c r="AF157" s="2">
        <v>685.08196721311481</v>
      </c>
      <c r="AG157" s="30">
        <v>27.5</v>
      </c>
      <c r="AH157" s="30">
        <v>1</v>
      </c>
      <c r="AI157" s="30">
        <v>2</v>
      </c>
      <c r="AJ157" s="30">
        <v>0</v>
      </c>
      <c r="AK157" s="30"/>
      <c r="AL157" s="30"/>
    </row>
    <row r="158" spans="1:38" hidden="1" x14ac:dyDescent="0.25">
      <c r="A158" s="21" t="s">
        <v>19</v>
      </c>
      <c r="B158" s="22" t="s">
        <v>159</v>
      </c>
      <c r="C158" s="3">
        <v>2015</v>
      </c>
      <c r="D158" s="3">
        <v>1</v>
      </c>
      <c r="E158" s="3" t="s">
        <v>37</v>
      </c>
      <c r="F158" s="3" t="s">
        <v>37</v>
      </c>
      <c r="G158" s="2">
        <v>101</v>
      </c>
      <c r="H158" s="21">
        <v>8</v>
      </c>
      <c r="I158" s="21">
        <f>G158-H158</f>
        <v>93</v>
      </c>
      <c r="J158" s="24">
        <f t="shared" si="24"/>
        <v>7.9207920792079209E-2</v>
      </c>
      <c r="K158" s="2">
        <v>0.140625</v>
      </c>
      <c r="L158" s="27">
        <f t="shared" si="25"/>
        <v>179.55555555555554</v>
      </c>
      <c r="M158" s="27" t="s">
        <v>37</v>
      </c>
      <c r="N158" s="27"/>
      <c r="O158" s="27" t="s">
        <v>37</v>
      </c>
      <c r="P158" s="27"/>
      <c r="Q158" s="27"/>
      <c r="R158" s="27"/>
      <c r="S158" s="27"/>
      <c r="T158" s="30"/>
      <c r="U158" s="30"/>
      <c r="V158" s="30"/>
      <c r="W158" s="30"/>
      <c r="X158" s="30"/>
      <c r="Y158" s="30"/>
      <c r="Z158" s="30"/>
      <c r="AA158" s="30"/>
      <c r="AB158" s="30"/>
      <c r="AC158" s="2"/>
      <c r="AD158" s="3" t="s">
        <v>158</v>
      </c>
      <c r="AE158" s="3">
        <v>0.69306930693069313</v>
      </c>
      <c r="AF158" s="2">
        <v>905.75247524752479</v>
      </c>
      <c r="AG158" s="30" t="s">
        <v>37</v>
      </c>
      <c r="AH158" s="30">
        <v>1</v>
      </c>
      <c r="AI158" s="30">
        <v>2</v>
      </c>
      <c r="AJ158" s="30">
        <v>0</v>
      </c>
      <c r="AK158" s="30"/>
      <c r="AL158" s="30"/>
    </row>
    <row r="159" spans="1:38" hidden="1" x14ac:dyDescent="0.25">
      <c r="A159" s="21" t="s">
        <v>19</v>
      </c>
      <c r="B159" s="22" t="s">
        <v>159</v>
      </c>
      <c r="C159" s="3">
        <v>2016</v>
      </c>
      <c r="D159" s="3">
        <v>1</v>
      </c>
      <c r="E159" s="3" t="s">
        <v>37</v>
      </c>
      <c r="F159" s="3" t="s">
        <v>37</v>
      </c>
      <c r="G159" s="25">
        <v>70</v>
      </c>
      <c r="H159" s="23">
        <v>18</v>
      </c>
      <c r="I159" s="21">
        <f>G159-H159</f>
        <v>52</v>
      </c>
      <c r="J159" s="24">
        <f t="shared" si="24"/>
        <v>0.25714285714285712</v>
      </c>
      <c r="K159" s="2">
        <v>0.140625</v>
      </c>
      <c r="L159" s="27">
        <f t="shared" si="25"/>
        <v>124.44444444444444</v>
      </c>
      <c r="M159" s="27">
        <v>7.5</v>
      </c>
      <c r="N159" s="27"/>
      <c r="O159" s="27">
        <v>100</v>
      </c>
      <c r="P159" s="27"/>
      <c r="Q159" s="27"/>
      <c r="R159" s="27"/>
      <c r="S159" s="27"/>
      <c r="T159" s="30"/>
      <c r="U159" s="30"/>
      <c r="V159" s="30"/>
      <c r="W159" s="30"/>
      <c r="X159" s="30"/>
      <c r="Y159" s="30"/>
      <c r="Z159" s="30"/>
      <c r="AA159" s="30"/>
      <c r="AB159" s="30"/>
      <c r="AC159" s="2"/>
      <c r="AD159" s="3" t="s">
        <v>158</v>
      </c>
      <c r="AE159" s="3">
        <v>1.6142857142857143</v>
      </c>
      <c r="AF159" s="2">
        <v>898.95709999999997</v>
      </c>
      <c r="AG159" s="30">
        <v>36.875</v>
      </c>
      <c r="AH159" s="30">
        <v>1</v>
      </c>
      <c r="AI159" s="30">
        <v>2</v>
      </c>
      <c r="AJ159" s="30">
        <v>0</v>
      </c>
      <c r="AK159" s="30"/>
      <c r="AL159" s="30"/>
    </row>
    <row r="160" spans="1:38" hidden="1" x14ac:dyDescent="0.25">
      <c r="A160" s="21" t="s">
        <v>19</v>
      </c>
      <c r="B160" s="22" t="s">
        <v>159</v>
      </c>
      <c r="C160" s="3">
        <v>2017</v>
      </c>
      <c r="D160" s="3">
        <v>1</v>
      </c>
      <c r="E160" s="3" t="s">
        <v>37</v>
      </c>
      <c r="F160" s="3" t="s">
        <v>37</v>
      </c>
      <c r="G160" s="25">
        <v>113</v>
      </c>
      <c r="H160" s="23">
        <v>24</v>
      </c>
      <c r="I160" s="21">
        <f>G160-H160</f>
        <v>89</v>
      </c>
      <c r="J160" s="24">
        <f t="shared" si="24"/>
        <v>0.21238938053097345</v>
      </c>
      <c r="K160" s="2">
        <v>0.140625</v>
      </c>
      <c r="L160" s="27">
        <f t="shared" si="25"/>
        <v>200.88888888888889</v>
      </c>
      <c r="M160" s="27">
        <v>7.875</v>
      </c>
      <c r="N160" s="27"/>
      <c r="O160" s="27">
        <v>95</v>
      </c>
      <c r="P160" s="27"/>
      <c r="Q160" s="27"/>
      <c r="R160" s="27"/>
      <c r="S160" s="27"/>
      <c r="T160" s="30"/>
      <c r="U160" s="30"/>
      <c r="V160" s="30"/>
      <c r="W160" s="30"/>
      <c r="X160" s="30"/>
      <c r="Y160" s="30"/>
      <c r="Z160" s="30"/>
      <c r="AA160" s="30"/>
      <c r="AB160" s="30"/>
      <c r="AC160" s="2"/>
      <c r="AD160" s="3" t="s">
        <v>158</v>
      </c>
      <c r="AE160" s="3">
        <v>3.4845132743362831E-2</v>
      </c>
      <c r="AF160" s="2">
        <v>890.47321428571433</v>
      </c>
      <c r="AG160" s="30">
        <v>26.4</v>
      </c>
      <c r="AH160" s="30">
        <v>1</v>
      </c>
      <c r="AI160" s="30">
        <v>2</v>
      </c>
      <c r="AJ160" s="30">
        <v>0</v>
      </c>
      <c r="AK160" s="30"/>
      <c r="AL160" s="30"/>
    </row>
    <row r="161" spans="1:38" hidden="1" x14ac:dyDescent="0.25">
      <c r="A161" s="21" t="s">
        <v>19</v>
      </c>
      <c r="B161" s="22" t="s">
        <v>159</v>
      </c>
      <c r="C161" s="3">
        <v>2018</v>
      </c>
      <c r="D161" s="3">
        <v>1</v>
      </c>
      <c r="E161" s="3" t="s">
        <v>37</v>
      </c>
      <c r="F161" s="3" t="s">
        <v>37</v>
      </c>
      <c r="G161" s="30" t="s">
        <v>37</v>
      </c>
      <c r="H161" s="27" t="s">
        <v>37</v>
      </c>
      <c r="I161" s="27" t="s">
        <v>37</v>
      </c>
      <c r="J161" s="27" t="s">
        <v>37</v>
      </c>
      <c r="K161" s="2" t="s">
        <v>37</v>
      </c>
      <c r="L161" s="24" t="s">
        <v>37</v>
      </c>
      <c r="M161" s="27" t="s">
        <v>37</v>
      </c>
      <c r="N161" s="27"/>
      <c r="O161" s="27" t="s">
        <v>37</v>
      </c>
      <c r="P161" s="27"/>
      <c r="Q161" s="27"/>
      <c r="R161" s="27"/>
      <c r="S161" s="27"/>
      <c r="T161" s="30"/>
      <c r="U161" s="30"/>
      <c r="V161" s="30"/>
      <c r="W161" s="30"/>
      <c r="X161" s="30"/>
      <c r="Y161" s="30"/>
      <c r="Z161" s="30"/>
      <c r="AA161" s="30"/>
      <c r="AB161" s="30"/>
      <c r="AC161" s="2"/>
      <c r="AD161" s="3" t="s">
        <v>158</v>
      </c>
      <c r="AE161" s="3" t="s">
        <v>37</v>
      </c>
      <c r="AF161" s="30" t="s">
        <v>37</v>
      </c>
      <c r="AG161" s="30" t="s">
        <v>37</v>
      </c>
      <c r="AH161" s="30">
        <v>1</v>
      </c>
      <c r="AI161" s="30">
        <v>2</v>
      </c>
      <c r="AJ161" s="30">
        <v>0</v>
      </c>
      <c r="AK161" s="30"/>
      <c r="AL161" s="30"/>
    </row>
    <row r="162" spans="1:38" hidden="1" x14ac:dyDescent="0.25">
      <c r="A162" s="21" t="s">
        <v>19</v>
      </c>
      <c r="B162" s="22" t="s">
        <v>159</v>
      </c>
      <c r="C162" s="3">
        <v>2019</v>
      </c>
      <c r="D162" s="3">
        <v>1</v>
      </c>
      <c r="E162" s="3" t="s">
        <v>37</v>
      </c>
      <c r="F162" s="3" t="s">
        <v>37</v>
      </c>
      <c r="G162" s="30">
        <f t="shared" ref="G162:G167" si="26">SUM(H162:I162)</f>
        <v>7</v>
      </c>
      <c r="H162" s="27">
        <v>5</v>
      </c>
      <c r="I162" s="21">
        <v>2</v>
      </c>
      <c r="J162" s="24">
        <f t="shared" ref="J162:J171" si="27">H162/G162</f>
        <v>0.7142857142857143</v>
      </c>
      <c r="K162" s="30">
        <v>0.25</v>
      </c>
      <c r="L162" s="27">
        <f t="shared" ref="L162:L171" si="28">G162/(K162/0.25)</f>
        <v>7</v>
      </c>
      <c r="M162" s="27">
        <v>11</v>
      </c>
      <c r="N162" s="27"/>
      <c r="O162" s="27">
        <v>80</v>
      </c>
      <c r="P162" s="27">
        <v>20</v>
      </c>
      <c r="Q162" s="27"/>
      <c r="R162" s="27"/>
      <c r="S162" s="27"/>
      <c r="T162" s="30"/>
      <c r="U162" s="30"/>
      <c r="V162" s="30"/>
      <c r="W162" s="30"/>
      <c r="X162" s="30"/>
      <c r="Y162" s="30"/>
      <c r="Z162" s="30"/>
      <c r="AA162" s="30"/>
      <c r="AB162" s="30"/>
      <c r="AC162" s="2"/>
      <c r="AD162" s="3" t="s">
        <v>158</v>
      </c>
      <c r="AE162" s="3">
        <v>16.857142857142858</v>
      </c>
      <c r="AF162" s="30" t="s">
        <v>37</v>
      </c>
      <c r="AG162" s="30" t="s">
        <v>37</v>
      </c>
      <c r="AH162" s="30">
        <v>1</v>
      </c>
      <c r="AI162" s="30">
        <v>2</v>
      </c>
      <c r="AJ162" s="30">
        <v>0</v>
      </c>
      <c r="AK162" s="32">
        <v>43642</v>
      </c>
      <c r="AL162" s="30">
        <v>6</v>
      </c>
    </row>
    <row r="163" spans="1:38" hidden="1" x14ac:dyDescent="0.25">
      <c r="A163" s="21" t="s">
        <v>19</v>
      </c>
      <c r="B163" s="22" t="s">
        <v>159</v>
      </c>
      <c r="C163" s="3">
        <v>2020</v>
      </c>
      <c r="D163" s="3">
        <v>1</v>
      </c>
      <c r="E163" s="3" t="s">
        <v>37</v>
      </c>
      <c r="F163" s="3" t="s">
        <v>37</v>
      </c>
      <c r="G163" s="30">
        <f t="shared" si="26"/>
        <v>118</v>
      </c>
      <c r="H163" s="27">
        <v>2</v>
      </c>
      <c r="I163" s="21">
        <v>116</v>
      </c>
      <c r="J163" s="24">
        <f t="shared" si="27"/>
        <v>1.6949152542372881E-2</v>
      </c>
      <c r="K163" s="30">
        <v>0.25</v>
      </c>
      <c r="L163" s="27">
        <f t="shared" si="28"/>
        <v>118</v>
      </c>
      <c r="M163" s="27">
        <v>16</v>
      </c>
      <c r="N163" s="27"/>
      <c r="O163" s="27">
        <v>95</v>
      </c>
      <c r="P163" s="27">
        <v>0</v>
      </c>
      <c r="Q163" s="27"/>
      <c r="R163" s="27"/>
      <c r="S163" s="27"/>
      <c r="T163" s="30"/>
      <c r="U163" s="30"/>
      <c r="V163" s="30"/>
      <c r="W163" s="30"/>
      <c r="X163" s="30"/>
      <c r="Y163" s="30"/>
      <c r="Z163" s="30"/>
      <c r="AA163" s="30"/>
      <c r="AB163" s="30"/>
      <c r="AC163" s="2"/>
      <c r="AD163" s="3" t="s">
        <v>158</v>
      </c>
      <c r="AE163" s="3" t="s">
        <v>37</v>
      </c>
      <c r="AF163" s="30" t="s">
        <v>37</v>
      </c>
      <c r="AG163" s="30"/>
      <c r="AH163" s="30">
        <v>1</v>
      </c>
      <c r="AI163" s="30">
        <v>2</v>
      </c>
      <c r="AJ163" s="30">
        <v>0</v>
      </c>
      <c r="AK163" s="32">
        <v>43991</v>
      </c>
      <c r="AL163" s="30"/>
    </row>
    <row r="164" spans="1:38" hidden="1" x14ac:dyDescent="0.25">
      <c r="A164" s="27" t="s">
        <v>19</v>
      </c>
      <c r="B164" s="22" t="s">
        <v>159</v>
      </c>
      <c r="C164" s="34">
        <v>2021</v>
      </c>
      <c r="D164" s="34">
        <v>1</v>
      </c>
      <c r="E164" s="30" t="s">
        <v>37</v>
      </c>
      <c r="F164" s="30" t="s">
        <v>37</v>
      </c>
      <c r="G164" s="30">
        <f t="shared" si="26"/>
        <v>38</v>
      </c>
      <c r="H164" s="27">
        <v>7</v>
      </c>
      <c r="I164" s="27">
        <v>31</v>
      </c>
      <c r="J164" s="24">
        <f t="shared" si="27"/>
        <v>0.18421052631578946</v>
      </c>
      <c r="K164" s="30">
        <v>0.25</v>
      </c>
      <c r="L164" s="27">
        <f t="shared" si="28"/>
        <v>38</v>
      </c>
      <c r="M164" s="27">
        <f>AVERAGE(W164:Z164)</f>
        <v>16.5</v>
      </c>
      <c r="N164" s="27"/>
      <c r="O164" s="27">
        <v>90</v>
      </c>
      <c r="P164" s="27">
        <v>5</v>
      </c>
      <c r="Q164" s="27">
        <v>5</v>
      </c>
      <c r="R164" s="27">
        <f>6+2</f>
        <v>8</v>
      </c>
      <c r="S164" s="27" t="s">
        <v>133</v>
      </c>
      <c r="T164" s="30"/>
      <c r="U164" s="30"/>
      <c r="V164" s="30"/>
      <c r="W164" s="30">
        <v>16</v>
      </c>
      <c r="X164" s="30">
        <v>15</v>
      </c>
      <c r="Y164" s="30">
        <v>13</v>
      </c>
      <c r="Z164" s="30">
        <v>22</v>
      </c>
      <c r="AA164" s="30"/>
      <c r="AB164" s="30"/>
      <c r="AC164" s="30"/>
      <c r="AD164" s="30" t="s">
        <v>158</v>
      </c>
      <c r="AE164" s="30" t="s">
        <v>37</v>
      </c>
      <c r="AF164" s="30" t="s">
        <v>37</v>
      </c>
      <c r="AG164" s="30" t="s">
        <v>37</v>
      </c>
      <c r="AH164" s="30">
        <v>1</v>
      </c>
      <c r="AI164" s="30">
        <v>2</v>
      </c>
      <c r="AJ164" s="30">
        <v>0</v>
      </c>
      <c r="AK164" s="32">
        <v>44379</v>
      </c>
      <c r="AL164" s="30"/>
    </row>
    <row r="165" spans="1:38" hidden="1" x14ac:dyDescent="0.25">
      <c r="A165" s="47" t="s">
        <v>19</v>
      </c>
      <c r="B165" s="47" t="s">
        <v>159</v>
      </c>
      <c r="C165" s="15">
        <v>2022</v>
      </c>
      <c r="D165" s="15">
        <v>1</v>
      </c>
      <c r="G165" s="14">
        <f t="shared" si="26"/>
        <v>17</v>
      </c>
      <c r="H165" s="19">
        <v>8</v>
      </c>
      <c r="I165" s="19">
        <v>9</v>
      </c>
      <c r="J165" s="24">
        <f t="shared" si="27"/>
        <v>0.47058823529411764</v>
      </c>
      <c r="K165" s="14">
        <v>0.25</v>
      </c>
      <c r="L165" s="19">
        <f t="shared" si="28"/>
        <v>17</v>
      </c>
      <c r="M165" s="19">
        <f>AVERAGE(W165:Z165)</f>
        <v>23</v>
      </c>
      <c r="O165" s="19">
        <v>92</v>
      </c>
      <c r="P165" s="19">
        <v>14</v>
      </c>
      <c r="Q165" s="19">
        <v>5</v>
      </c>
      <c r="R165" s="19">
        <v>2</v>
      </c>
      <c r="S165" s="47" t="s">
        <v>541</v>
      </c>
      <c r="T165" s="48" t="s">
        <v>506</v>
      </c>
      <c r="U165" s="14">
        <v>10</v>
      </c>
      <c r="W165" s="14">
        <v>16</v>
      </c>
      <c r="X165" s="14">
        <v>14</v>
      </c>
      <c r="Y165" s="14">
        <v>40</v>
      </c>
      <c r="Z165" s="14">
        <v>22</v>
      </c>
      <c r="AF165" s="48" t="s">
        <v>37</v>
      </c>
      <c r="AK165" s="42">
        <v>44746</v>
      </c>
    </row>
    <row r="166" spans="1:38" hidden="1" x14ac:dyDescent="0.25">
      <c r="A166" s="47" t="s">
        <v>19</v>
      </c>
      <c r="B166" s="47" t="s">
        <v>159</v>
      </c>
      <c r="C166" s="15">
        <v>2023</v>
      </c>
      <c r="D166" s="15">
        <v>1</v>
      </c>
      <c r="G166" s="14">
        <f t="shared" si="26"/>
        <v>15</v>
      </c>
      <c r="H166" s="19">
        <v>6</v>
      </c>
      <c r="I166" s="19">
        <v>9</v>
      </c>
      <c r="J166" s="24">
        <f t="shared" si="27"/>
        <v>0.4</v>
      </c>
      <c r="K166" s="14">
        <v>0.25</v>
      </c>
      <c r="L166" s="19">
        <f t="shared" si="28"/>
        <v>15</v>
      </c>
      <c r="M166" s="19">
        <f>AVERAGE(W166:Z166)</f>
        <v>18</v>
      </c>
      <c r="N166" s="19">
        <f>AVERAGE(AA166:AB166)</f>
        <v>13.5</v>
      </c>
      <c r="O166" s="19">
        <v>95</v>
      </c>
      <c r="P166" s="19">
        <v>25</v>
      </c>
      <c r="Q166" s="19">
        <v>5</v>
      </c>
      <c r="R166" s="56" t="s">
        <v>573</v>
      </c>
      <c r="S166" s="56" t="s">
        <v>574</v>
      </c>
      <c r="T166" s="55" t="s">
        <v>37</v>
      </c>
      <c r="U166" s="14">
        <v>0</v>
      </c>
      <c r="V166" s="55" t="s">
        <v>577</v>
      </c>
      <c r="W166" s="14">
        <v>16</v>
      </c>
      <c r="X166" s="14">
        <v>19</v>
      </c>
      <c r="Y166" s="14">
        <v>19</v>
      </c>
      <c r="Z166" s="14">
        <v>18</v>
      </c>
      <c r="AA166" s="14">
        <v>13</v>
      </c>
      <c r="AB166" s="14">
        <v>14</v>
      </c>
      <c r="AF166" s="48" t="s">
        <v>37</v>
      </c>
      <c r="AK166" s="42">
        <v>45110</v>
      </c>
    </row>
    <row r="167" spans="1:38" hidden="1" x14ac:dyDescent="0.25">
      <c r="A167" s="47" t="s">
        <v>19</v>
      </c>
      <c r="B167" s="47" t="s">
        <v>159</v>
      </c>
      <c r="C167" s="15">
        <v>2024</v>
      </c>
      <c r="D167" s="15">
        <v>1</v>
      </c>
      <c r="E167" s="64" t="s">
        <v>37</v>
      </c>
      <c r="F167" s="64" t="s">
        <v>37</v>
      </c>
      <c r="G167" s="14">
        <f t="shared" si="26"/>
        <v>33</v>
      </c>
      <c r="H167" s="19">
        <v>5</v>
      </c>
      <c r="I167" s="19">
        <v>28</v>
      </c>
      <c r="J167" s="24">
        <f t="shared" si="27"/>
        <v>0.15151515151515152</v>
      </c>
      <c r="K167" s="14">
        <v>0.25</v>
      </c>
      <c r="L167" s="19">
        <f t="shared" si="28"/>
        <v>33</v>
      </c>
      <c r="M167" s="19">
        <f>AVERAGE(X167:Z167)</f>
        <v>22.333333333333332</v>
      </c>
      <c r="O167" s="19">
        <v>100</v>
      </c>
      <c r="P167" s="19">
        <v>2</v>
      </c>
      <c r="Q167" s="19">
        <v>3</v>
      </c>
      <c r="W167" s="14">
        <v>17</v>
      </c>
      <c r="X167" s="14">
        <v>20</v>
      </c>
      <c r="Y167" s="14">
        <v>25</v>
      </c>
      <c r="Z167" s="14">
        <v>22</v>
      </c>
    </row>
    <row r="168" spans="1:38" hidden="1" x14ac:dyDescent="0.25">
      <c r="A168" s="21" t="s">
        <v>26</v>
      </c>
      <c r="B168" s="27" t="s">
        <v>162</v>
      </c>
      <c r="C168" s="3">
        <v>2014</v>
      </c>
      <c r="D168" s="3">
        <v>1</v>
      </c>
      <c r="E168" s="3" t="s">
        <v>37</v>
      </c>
      <c r="F168" s="3" t="s">
        <v>37</v>
      </c>
      <c r="G168" s="2">
        <v>2</v>
      </c>
      <c r="H168" s="21">
        <v>1</v>
      </c>
      <c r="I168" s="21">
        <f>G168-H168</f>
        <v>1</v>
      </c>
      <c r="J168" s="24">
        <f t="shared" si="27"/>
        <v>0.5</v>
      </c>
      <c r="K168" s="2">
        <v>0.25</v>
      </c>
      <c r="L168" s="27">
        <f t="shared" si="28"/>
        <v>2</v>
      </c>
      <c r="M168" s="27">
        <v>7</v>
      </c>
      <c r="N168" s="27"/>
      <c r="O168" s="27">
        <v>85</v>
      </c>
      <c r="P168" s="27"/>
      <c r="Q168" s="27"/>
      <c r="R168" s="27"/>
      <c r="S168" s="27"/>
      <c r="T168" s="30"/>
      <c r="U168" s="30"/>
      <c r="V168" s="30"/>
      <c r="W168" s="30"/>
      <c r="X168" s="30"/>
      <c r="Y168" s="30"/>
      <c r="Z168" s="30"/>
      <c r="AA168" s="30"/>
      <c r="AB168" s="30"/>
      <c r="AC168" s="2" t="s">
        <v>160</v>
      </c>
      <c r="AD168" s="3" t="s">
        <v>161</v>
      </c>
      <c r="AE168" s="3">
        <v>1.5</v>
      </c>
      <c r="AF168" s="2">
        <v>1248.5</v>
      </c>
      <c r="AG168" s="30">
        <v>47.5</v>
      </c>
      <c r="AH168" s="30">
        <v>1</v>
      </c>
      <c r="AI168" s="30">
        <v>1</v>
      </c>
      <c r="AJ168" s="30">
        <v>1</v>
      </c>
      <c r="AK168" s="30"/>
      <c r="AL168" s="30"/>
    </row>
    <row r="169" spans="1:38" hidden="1" x14ac:dyDescent="0.25">
      <c r="A169" s="21" t="s">
        <v>26</v>
      </c>
      <c r="B169" s="27" t="s">
        <v>162</v>
      </c>
      <c r="C169" s="3">
        <v>2015</v>
      </c>
      <c r="D169" s="3">
        <v>1</v>
      </c>
      <c r="E169" s="3" t="s">
        <v>37</v>
      </c>
      <c r="F169" s="3" t="s">
        <v>37</v>
      </c>
      <c r="G169" s="2">
        <v>3</v>
      </c>
      <c r="H169" s="21">
        <v>2</v>
      </c>
      <c r="I169" s="21">
        <f>G169-H169</f>
        <v>1</v>
      </c>
      <c r="J169" s="24">
        <f t="shared" si="27"/>
        <v>0.66666666666666663</v>
      </c>
      <c r="K169" s="2">
        <v>0.25</v>
      </c>
      <c r="L169" s="27">
        <f t="shared" si="28"/>
        <v>3</v>
      </c>
      <c r="M169" s="27" t="s">
        <v>37</v>
      </c>
      <c r="N169" s="27"/>
      <c r="O169" s="27" t="s">
        <v>37</v>
      </c>
      <c r="P169" s="27"/>
      <c r="Q169" s="27"/>
      <c r="R169" s="27"/>
      <c r="S169" s="27"/>
      <c r="T169" s="30"/>
      <c r="U169" s="30"/>
      <c r="V169" s="30"/>
      <c r="W169" s="30"/>
      <c r="X169" s="30"/>
      <c r="Y169" s="30"/>
      <c r="Z169" s="30"/>
      <c r="AA169" s="30"/>
      <c r="AB169" s="30"/>
      <c r="AC169" s="2" t="s">
        <v>160</v>
      </c>
      <c r="AD169" s="3" t="s">
        <v>161</v>
      </c>
      <c r="AE169" s="3">
        <v>2.3333333333333335</v>
      </c>
      <c r="AF169" s="2">
        <v>2078.6666666666665</v>
      </c>
      <c r="AG169" s="30" t="s">
        <v>37</v>
      </c>
      <c r="AH169" s="30">
        <v>1</v>
      </c>
      <c r="AI169" s="30">
        <v>2</v>
      </c>
      <c r="AJ169" s="30">
        <v>0</v>
      </c>
      <c r="AK169" s="30"/>
      <c r="AL169" s="30"/>
    </row>
    <row r="170" spans="1:38" hidden="1" x14ac:dyDescent="0.25">
      <c r="A170" s="21" t="s">
        <v>26</v>
      </c>
      <c r="B170" s="27" t="s">
        <v>162</v>
      </c>
      <c r="C170" s="3">
        <v>2016</v>
      </c>
      <c r="D170" s="3">
        <v>1</v>
      </c>
      <c r="E170" s="3" t="s">
        <v>37</v>
      </c>
      <c r="F170" s="3" t="s">
        <v>37</v>
      </c>
      <c r="G170" s="25">
        <v>7</v>
      </c>
      <c r="H170" s="23">
        <v>5</v>
      </c>
      <c r="I170" s="21">
        <f>G170-H170</f>
        <v>2</v>
      </c>
      <c r="J170" s="24">
        <f t="shared" si="27"/>
        <v>0.7142857142857143</v>
      </c>
      <c r="K170" s="2">
        <v>0.25</v>
      </c>
      <c r="L170" s="27">
        <f t="shared" si="28"/>
        <v>7</v>
      </c>
      <c r="M170" s="27">
        <v>7</v>
      </c>
      <c r="N170" s="27"/>
      <c r="O170" s="27">
        <v>75</v>
      </c>
      <c r="P170" s="27"/>
      <c r="Q170" s="27"/>
      <c r="R170" s="27"/>
      <c r="S170" s="27"/>
      <c r="T170" s="30"/>
      <c r="U170" s="30"/>
      <c r="V170" s="30"/>
      <c r="W170" s="30"/>
      <c r="X170" s="30"/>
      <c r="Y170" s="30"/>
      <c r="Z170" s="30"/>
      <c r="AA170" s="30"/>
      <c r="AB170" s="30"/>
      <c r="AC170" s="2" t="s">
        <v>160</v>
      </c>
      <c r="AD170" s="3" t="s">
        <v>161</v>
      </c>
      <c r="AE170" s="3" t="s">
        <v>37</v>
      </c>
      <c r="AF170" s="2">
        <v>1804.2860000000001</v>
      </c>
      <c r="AG170" s="30">
        <v>56.174999999999997</v>
      </c>
      <c r="AH170" s="30">
        <v>1</v>
      </c>
      <c r="AI170" s="30">
        <v>2</v>
      </c>
      <c r="AJ170" s="30">
        <v>0</v>
      </c>
      <c r="AK170" s="30"/>
      <c r="AL170" s="30"/>
    </row>
    <row r="171" spans="1:38" hidden="1" x14ac:dyDescent="0.25">
      <c r="A171" s="21" t="s">
        <v>26</v>
      </c>
      <c r="B171" s="27" t="s">
        <v>162</v>
      </c>
      <c r="C171" s="3">
        <v>2017</v>
      </c>
      <c r="D171" s="3">
        <v>1</v>
      </c>
      <c r="E171" s="3" t="s">
        <v>37</v>
      </c>
      <c r="F171" s="3" t="s">
        <v>37</v>
      </c>
      <c r="G171" s="25">
        <v>11</v>
      </c>
      <c r="H171" s="23">
        <v>7</v>
      </c>
      <c r="I171" s="21">
        <f>G171-H171</f>
        <v>4</v>
      </c>
      <c r="J171" s="24">
        <f t="shared" si="27"/>
        <v>0.63636363636363635</v>
      </c>
      <c r="K171" s="2">
        <v>0.25</v>
      </c>
      <c r="L171" s="27">
        <f t="shared" si="28"/>
        <v>11</v>
      </c>
      <c r="M171" s="27">
        <v>4</v>
      </c>
      <c r="N171" s="27"/>
      <c r="O171" s="27">
        <v>95</v>
      </c>
      <c r="P171" s="27"/>
      <c r="Q171" s="27"/>
      <c r="R171" s="27"/>
      <c r="S171" s="27"/>
      <c r="T171" s="30"/>
      <c r="U171" s="30"/>
      <c r="V171" s="30"/>
      <c r="W171" s="30"/>
      <c r="X171" s="30"/>
      <c r="Y171" s="30"/>
      <c r="Z171" s="30"/>
      <c r="AA171" s="30"/>
      <c r="AB171" s="30"/>
      <c r="AC171" s="2" t="s">
        <v>160</v>
      </c>
      <c r="AD171" s="3" t="s">
        <v>161</v>
      </c>
      <c r="AE171" s="3">
        <v>1.5714285714285714</v>
      </c>
      <c r="AF171" s="2">
        <v>1060.7272727272727</v>
      </c>
      <c r="AG171" s="30">
        <v>57.174999999999997</v>
      </c>
      <c r="AH171" s="30">
        <v>1</v>
      </c>
      <c r="AI171" s="30">
        <v>2</v>
      </c>
      <c r="AJ171" s="30">
        <v>0</v>
      </c>
      <c r="AK171" s="30"/>
      <c r="AL171" s="30"/>
    </row>
    <row r="172" spans="1:38" hidden="1" x14ac:dyDescent="0.25">
      <c r="A172" s="21" t="s">
        <v>26</v>
      </c>
      <c r="B172" s="27" t="s">
        <v>162</v>
      </c>
      <c r="C172" s="3">
        <v>2018</v>
      </c>
      <c r="D172" s="3">
        <v>1</v>
      </c>
      <c r="E172" s="3" t="s">
        <v>37</v>
      </c>
      <c r="F172" s="3" t="s">
        <v>37</v>
      </c>
      <c r="G172" s="30" t="s">
        <v>37</v>
      </c>
      <c r="H172" s="27" t="s">
        <v>37</v>
      </c>
      <c r="I172" s="27" t="s">
        <v>37</v>
      </c>
      <c r="J172" s="27" t="s">
        <v>37</v>
      </c>
      <c r="K172" s="2" t="s">
        <v>37</v>
      </c>
      <c r="L172" s="24" t="s">
        <v>37</v>
      </c>
      <c r="M172" s="27" t="s">
        <v>37</v>
      </c>
      <c r="N172" s="27"/>
      <c r="O172" s="27" t="s">
        <v>37</v>
      </c>
      <c r="P172" s="27"/>
      <c r="Q172" s="27"/>
      <c r="R172" s="27"/>
      <c r="S172" s="27"/>
      <c r="T172" s="30"/>
      <c r="U172" s="30"/>
      <c r="V172" s="30"/>
      <c r="W172" s="30"/>
      <c r="X172" s="30"/>
      <c r="Y172" s="30"/>
      <c r="Z172" s="30"/>
      <c r="AA172" s="30"/>
      <c r="AB172" s="30"/>
      <c r="AC172" s="2" t="s">
        <v>178</v>
      </c>
      <c r="AD172" s="3" t="s">
        <v>161</v>
      </c>
      <c r="AE172" s="3">
        <v>0.81818181818181823</v>
      </c>
      <c r="AF172" s="30" t="s">
        <v>37</v>
      </c>
      <c r="AG172" s="30" t="s">
        <v>37</v>
      </c>
      <c r="AH172" s="30">
        <v>1</v>
      </c>
      <c r="AI172" s="30">
        <v>2</v>
      </c>
      <c r="AJ172" s="30">
        <v>0</v>
      </c>
      <c r="AK172" s="30"/>
      <c r="AL172" s="30"/>
    </row>
    <row r="173" spans="1:38" hidden="1" x14ac:dyDescent="0.25">
      <c r="A173" s="21" t="s">
        <v>26</v>
      </c>
      <c r="B173" s="27" t="s">
        <v>162</v>
      </c>
      <c r="C173" s="3">
        <v>2019</v>
      </c>
      <c r="D173" s="3">
        <v>1</v>
      </c>
      <c r="E173" s="3" t="s">
        <v>37</v>
      </c>
      <c r="F173" s="3" t="s">
        <v>37</v>
      </c>
      <c r="G173" s="30">
        <f t="shared" ref="G173:G178" si="29">SUM(H173:I173)</f>
        <v>9</v>
      </c>
      <c r="H173" s="27">
        <v>0</v>
      </c>
      <c r="I173" s="21">
        <v>9</v>
      </c>
      <c r="J173" s="24">
        <f>H173/G173</f>
        <v>0</v>
      </c>
      <c r="K173" s="30">
        <v>0.25</v>
      </c>
      <c r="L173" s="27">
        <f t="shared" ref="L173:L182" si="30">G173/(K173/0.25)</f>
        <v>9</v>
      </c>
      <c r="M173" s="27">
        <f>(6+4+5+8)/4</f>
        <v>5.75</v>
      </c>
      <c r="N173" s="27"/>
      <c r="O173" s="27">
        <v>60</v>
      </c>
      <c r="P173" s="27">
        <v>70</v>
      </c>
      <c r="Q173" s="27"/>
      <c r="R173" s="27"/>
      <c r="S173" s="27"/>
      <c r="T173" s="30"/>
      <c r="U173" s="30"/>
      <c r="V173" s="30"/>
      <c r="W173" s="30"/>
      <c r="X173" s="30"/>
      <c r="Y173" s="30"/>
      <c r="Z173" s="30"/>
      <c r="AA173" s="30"/>
      <c r="AB173" s="30"/>
      <c r="AC173" s="2" t="s">
        <v>178</v>
      </c>
      <c r="AD173" s="3" t="s">
        <v>161</v>
      </c>
      <c r="AE173" s="3" t="s">
        <v>37</v>
      </c>
      <c r="AF173" s="30" t="s">
        <v>37</v>
      </c>
      <c r="AG173" s="30" t="s">
        <v>37</v>
      </c>
      <c r="AH173" s="30">
        <v>1</v>
      </c>
      <c r="AI173" s="30">
        <v>2</v>
      </c>
      <c r="AJ173" s="30">
        <v>0</v>
      </c>
      <c r="AK173" s="32">
        <v>43623</v>
      </c>
      <c r="AL173" s="30">
        <v>1</v>
      </c>
    </row>
    <row r="174" spans="1:38" hidden="1" x14ac:dyDescent="0.25">
      <c r="A174" s="21" t="s">
        <v>26</v>
      </c>
      <c r="B174" s="27" t="s">
        <v>162</v>
      </c>
      <c r="C174" s="3">
        <v>2020</v>
      </c>
      <c r="D174" s="3">
        <v>1</v>
      </c>
      <c r="E174" s="3" t="s">
        <v>37</v>
      </c>
      <c r="F174" s="3" t="s">
        <v>37</v>
      </c>
      <c r="G174" s="30">
        <f t="shared" si="29"/>
        <v>0</v>
      </c>
      <c r="H174" s="27">
        <v>0</v>
      </c>
      <c r="I174" s="21">
        <v>0</v>
      </c>
      <c r="J174" s="24" t="s">
        <v>37</v>
      </c>
      <c r="K174" s="30">
        <v>0.25</v>
      </c>
      <c r="L174" s="27">
        <f t="shared" si="30"/>
        <v>0</v>
      </c>
      <c r="M174" s="27">
        <v>8</v>
      </c>
      <c r="N174" s="27"/>
      <c r="O174" s="27">
        <v>90</v>
      </c>
      <c r="P174" s="27">
        <v>80</v>
      </c>
      <c r="Q174" s="27"/>
      <c r="R174" s="27"/>
      <c r="S174" s="27"/>
      <c r="T174" s="30"/>
      <c r="U174" s="30"/>
      <c r="V174" s="30"/>
      <c r="W174" s="30"/>
      <c r="X174" s="30"/>
      <c r="Y174" s="30"/>
      <c r="Z174" s="30"/>
      <c r="AA174" s="30"/>
      <c r="AB174" s="30"/>
      <c r="AC174" s="2" t="s">
        <v>178</v>
      </c>
      <c r="AD174" s="3" t="s">
        <v>161</v>
      </c>
      <c r="AE174" s="3" t="s">
        <v>37</v>
      </c>
      <c r="AF174" s="30" t="s">
        <v>37</v>
      </c>
      <c r="AG174" s="30"/>
      <c r="AH174" s="30">
        <v>1</v>
      </c>
      <c r="AI174" s="30">
        <v>2</v>
      </c>
      <c r="AJ174" s="30">
        <v>0</v>
      </c>
      <c r="AK174" s="32" t="s">
        <v>163</v>
      </c>
      <c r="AL174" s="30"/>
    </row>
    <row r="175" spans="1:38" hidden="1" x14ac:dyDescent="0.25">
      <c r="A175" s="27" t="s">
        <v>26</v>
      </c>
      <c r="B175" s="27" t="s">
        <v>162</v>
      </c>
      <c r="C175" s="34">
        <v>2021</v>
      </c>
      <c r="D175" s="34">
        <v>1</v>
      </c>
      <c r="E175" s="30" t="s">
        <v>37</v>
      </c>
      <c r="F175" s="30" t="s">
        <v>37</v>
      </c>
      <c r="G175" s="30">
        <f t="shared" si="29"/>
        <v>0</v>
      </c>
      <c r="H175" s="27">
        <v>0</v>
      </c>
      <c r="I175" s="27">
        <v>0</v>
      </c>
      <c r="J175" s="24" t="s">
        <v>37</v>
      </c>
      <c r="K175" s="30">
        <v>0.25</v>
      </c>
      <c r="L175" s="27">
        <f t="shared" si="30"/>
        <v>0</v>
      </c>
      <c r="M175" s="27">
        <f>AVERAGE(W175:Z175)</f>
        <v>13.25</v>
      </c>
      <c r="N175" s="27"/>
      <c r="O175" s="27">
        <v>70</v>
      </c>
      <c r="P175" s="27">
        <v>50</v>
      </c>
      <c r="Q175" s="27">
        <v>5</v>
      </c>
      <c r="R175" s="27">
        <v>0</v>
      </c>
      <c r="S175" s="27"/>
      <c r="T175" s="30"/>
      <c r="U175" s="30"/>
      <c r="V175" s="30"/>
      <c r="W175" s="30">
        <v>10</v>
      </c>
      <c r="X175" s="30">
        <v>14</v>
      </c>
      <c r="Y175" s="30">
        <v>16</v>
      </c>
      <c r="Z175" s="30">
        <v>13</v>
      </c>
      <c r="AA175" s="30"/>
      <c r="AB175" s="30"/>
      <c r="AC175" s="2" t="s">
        <v>178</v>
      </c>
      <c r="AD175" s="30" t="s">
        <v>161</v>
      </c>
      <c r="AE175" s="30" t="s">
        <v>37</v>
      </c>
      <c r="AF175" s="30" t="s">
        <v>37</v>
      </c>
      <c r="AG175" s="30" t="s">
        <v>37</v>
      </c>
      <c r="AH175" s="30">
        <v>1</v>
      </c>
      <c r="AI175" s="30">
        <v>2</v>
      </c>
      <c r="AJ175" s="30">
        <v>0</v>
      </c>
      <c r="AK175" s="32">
        <v>44379</v>
      </c>
      <c r="AL175" s="30"/>
    </row>
    <row r="176" spans="1:38" hidden="1" x14ac:dyDescent="0.25">
      <c r="A176" s="40" t="s">
        <v>26</v>
      </c>
      <c r="B176" s="40" t="s">
        <v>162</v>
      </c>
      <c r="C176" s="34">
        <v>2022</v>
      </c>
      <c r="D176" s="34">
        <v>1</v>
      </c>
      <c r="E176" s="30" t="s">
        <v>37</v>
      </c>
      <c r="F176" s="30" t="s">
        <v>37</v>
      </c>
      <c r="G176" s="30">
        <f t="shared" si="29"/>
        <v>0</v>
      </c>
      <c r="H176" s="27">
        <v>0</v>
      </c>
      <c r="I176" s="27">
        <v>0</v>
      </c>
      <c r="J176" s="24" t="s">
        <v>37</v>
      </c>
      <c r="K176" s="30">
        <v>0.25</v>
      </c>
      <c r="L176" s="27">
        <f t="shared" si="30"/>
        <v>0</v>
      </c>
      <c r="M176" s="27">
        <f>AVERAGE(W176:Z176)</f>
        <v>15.75</v>
      </c>
      <c r="N176" s="27"/>
      <c r="O176" s="27">
        <v>95</v>
      </c>
      <c r="P176" s="27">
        <v>20</v>
      </c>
      <c r="Q176" s="40">
        <v>5</v>
      </c>
      <c r="R176" s="27">
        <v>0</v>
      </c>
      <c r="S176" s="47" t="s">
        <v>37</v>
      </c>
      <c r="T176" s="41" t="s">
        <v>506</v>
      </c>
      <c r="U176" s="30">
        <v>2</v>
      </c>
      <c r="V176" s="30"/>
      <c r="W176" s="30">
        <v>10</v>
      </c>
      <c r="X176" s="30">
        <v>25</v>
      </c>
      <c r="Y176" s="30">
        <v>13</v>
      </c>
      <c r="Z176" s="30">
        <v>15</v>
      </c>
      <c r="AA176" s="30"/>
      <c r="AB176" s="30"/>
      <c r="AD176" s="30"/>
      <c r="AE176" s="30"/>
      <c r="AF176" s="41" t="s">
        <v>37</v>
      </c>
      <c r="AG176" s="30"/>
      <c r="AH176" s="30"/>
      <c r="AI176" s="30"/>
      <c r="AJ176" s="30"/>
      <c r="AK176" s="32">
        <v>44747</v>
      </c>
      <c r="AL176" s="30"/>
    </row>
    <row r="177" spans="1:38" hidden="1" x14ac:dyDescent="0.25">
      <c r="A177" s="40" t="s">
        <v>26</v>
      </c>
      <c r="B177" s="40" t="s">
        <v>162</v>
      </c>
      <c r="C177" s="34">
        <v>2023</v>
      </c>
      <c r="D177" s="34">
        <v>1</v>
      </c>
      <c r="E177" s="30" t="s">
        <v>37</v>
      </c>
      <c r="F177" s="30" t="s">
        <v>37</v>
      </c>
      <c r="G177" s="30">
        <f t="shared" si="29"/>
        <v>0</v>
      </c>
      <c r="H177" s="27">
        <v>0</v>
      </c>
      <c r="I177" s="27">
        <v>0</v>
      </c>
      <c r="J177" s="24" t="s">
        <v>37</v>
      </c>
      <c r="K177" s="30">
        <v>0.25</v>
      </c>
      <c r="L177" s="27">
        <f t="shared" si="30"/>
        <v>0</v>
      </c>
      <c r="M177" s="27">
        <f>AVERAGE(W177:Z177)</f>
        <v>12.75</v>
      </c>
      <c r="N177" s="19">
        <f>AVERAGE(AA177:AB177)</f>
        <v>18</v>
      </c>
      <c r="O177" s="27">
        <v>90</v>
      </c>
      <c r="P177" s="27">
        <v>25</v>
      </c>
      <c r="Q177" s="40">
        <v>12</v>
      </c>
      <c r="R177" s="27">
        <v>0</v>
      </c>
      <c r="S177" s="59" t="s">
        <v>37</v>
      </c>
      <c r="T177" s="57" t="s">
        <v>506</v>
      </c>
      <c r="U177" s="30">
        <v>5</v>
      </c>
      <c r="V177" s="30"/>
      <c r="W177" s="30">
        <v>10</v>
      </c>
      <c r="X177" s="30">
        <v>10</v>
      </c>
      <c r="Y177" s="30">
        <v>16</v>
      </c>
      <c r="Z177" s="30">
        <v>15</v>
      </c>
      <c r="AA177" s="30">
        <v>13</v>
      </c>
      <c r="AB177" s="30">
        <v>23</v>
      </c>
      <c r="AD177" s="30"/>
      <c r="AE177" s="30"/>
      <c r="AF177" s="41" t="s">
        <v>37</v>
      </c>
      <c r="AG177" s="30"/>
      <c r="AH177" s="57" t="s">
        <v>577</v>
      </c>
      <c r="AI177" s="30"/>
      <c r="AJ177" s="30"/>
      <c r="AK177" s="32">
        <v>44747</v>
      </c>
      <c r="AL177" s="30"/>
    </row>
    <row r="178" spans="1:38" hidden="1" x14ac:dyDescent="0.25">
      <c r="A178" s="40" t="s">
        <v>26</v>
      </c>
      <c r="B178" s="40" t="s">
        <v>162</v>
      </c>
      <c r="C178" s="34">
        <v>2024</v>
      </c>
      <c r="D178" s="34">
        <v>1</v>
      </c>
      <c r="E178" s="30" t="s">
        <v>37</v>
      </c>
      <c r="F178" s="30" t="s">
        <v>37</v>
      </c>
      <c r="G178" s="14">
        <f t="shared" si="29"/>
        <v>0</v>
      </c>
      <c r="H178" s="19">
        <v>0</v>
      </c>
      <c r="I178" s="19">
        <v>0</v>
      </c>
      <c r="J178" s="24" t="s">
        <v>37</v>
      </c>
      <c r="K178" s="14">
        <v>0.25</v>
      </c>
      <c r="L178" s="19">
        <f t="shared" si="30"/>
        <v>0</v>
      </c>
      <c r="M178" s="19">
        <f>AVERAGE(X178:Z178)</f>
        <v>15</v>
      </c>
      <c r="O178" s="19">
        <v>85</v>
      </c>
      <c r="P178" s="19">
        <v>45</v>
      </c>
      <c r="Q178" s="19">
        <v>5</v>
      </c>
      <c r="W178" s="14">
        <v>9</v>
      </c>
      <c r="X178" s="14">
        <v>17</v>
      </c>
      <c r="Y178" s="14">
        <v>9</v>
      </c>
      <c r="Z178" s="14">
        <v>19</v>
      </c>
    </row>
    <row r="179" spans="1:38" hidden="1" x14ac:dyDescent="0.25">
      <c r="A179" s="21" t="s">
        <v>26</v>
      </c>
      <c r="B179" s="27" t="s">
        <v>272</v>
      </c>
      <c r="C179" s="3">
        <v>2014</v>
      </c>
      <c r="D179" s="3">
        <v>1</v>
      </c>
      <c r="E179" s="3" t="s">
        <v>37</v>
      </c>
      <c r="F179" s="3" t="s">
        <v>37</v>
      </c>
      <c r="G179" s="2">
        <v>12</v>
      </c>
      <c r="H179" s="21">
        <v>3</v>
      </c>
      <c r="I179" s="21">
        <f>G179-H179</f>
        <v>9</v>
      </c>
      <c r="J179" s="24">
        <f>H179/G179</f>
        <v>0.25</v>
      </c>
      <c r="K179" s="2">
        <v>0.25</v>
      </c>
      <c r="L179" s="27">
        <f t="shared" si="30"/>
        <v>12</v>
      </c>
      <c r="M179" s="27">
        <v>16</v>
      </c>
      <c r="N179" s="27"/>
      <c r="O179" s="27">
        <v>75</v>
      </c>
      <c r="P179" s="27"/>
      <c r="Q179" s="27"/>
      <c r="R179" s="27"/>
      <c r="S179" s="27"/>
      <c r="T179" s="30"/>
      <c r="U179" s="30"/>
      <c r="V179" s="30"/>
      <c r="W179" s="30"/>
      <c r="X179" s="30"/>
      <c r="Y179" s="30"/>
      <c r="Z179" s="30"/>
      <c r="AA179" s="30"/>
      <c r="AB179" s="30"/>
      <c r="AC179" s="2" t="s">
        <v>160</v>
      </c>
      <c r="AD179" s="3" t="s">
        <v>271</v>
      </c>
      <c r="AE179" s="3">
        <v>0.66666666666666663</v>
      </c>
      <c r="AF179" s="2">
        <v>518.83333333333337</v>
      </c>
      <c r="AG179" s="30">
        <v>57.9</v>
      </c>
      <c r="AH179" s="30">
        <v>1</v>
      </c>
      <c r="AI179" s="30">
        <v>1</v>
      </c>
      <c r="AJ179" s="30">
        <v>0</v>
      </c>
      <c r="AK179" s="30"/>
      <c r="AL179" s="30"/>
    </row>
    <row r="180" spans="1:38" hidden="1" x14ac:dyDescent="0.25">
      <c r="A180" s="21" t="s">
        <v>26</v>
      </c>
      <c r="B180" s="27" t="s">
        <v>272</v>
      </c>
      <c r="C180" s="3">
        <v>2015</v>
      </c>
      <c r="D180" s="3">
        <v>1</v>
      </c>
      <c r="E180" s="3" t="s">
        <v>37</v>
      </c>
      <c r="F180" s="3" t="s">
        <v>37</v>
      </c>
      <c r="G180" s="2">
        <v>8</v>
      </c>
      <c r="H180" s="21">
        <v>1</v>
      </c>
      <c r="I180" s="21">
        <f>G180-H180</f>
        <v>7</v>
      </c>
      <c r="J180" s="24">
        <f>H180/G180</f>
        <v>0.125</v>
      </c>
      <c r="K180" s="2">
        <v>0.25</v>
      </c>
      <c r="L180" s="27">
        <f t="shared" si="30"/>
        <v>8</v>
      </c>
      <c r="M180" s="27" t="s">
        <v>37</v>
      </c>
      <c r="N180" s="27"/>
      <c r="O180" s="27" t="s">
        <v>37</v>
      </c>
      <c r="P180" s="27"/>
      <c r="Q180" s="27"/>
      <c r="R180" s="27"/>
      <c r="S180" s="27"/>
      <c r="T180" s="30"/>
      <c r="U180" s="30"/>
      <c r="V180" s="30"/>
      <c r="W180" s="30"/>
      <c r="X180" s="30"/>
      <c r="Y180" s="30"/>
      <c r="Z180" s="30"/>
      <c r="AA180" s="30"/>
      <c r="AB180" s="30"/>
      <c r="AC180" s="2" t="s">
        <v>160</v>
      </c>
      <c r="AD180" s="3" t="s">
        <v>271</v>
      </c>
      <c r="AE180" s="3">
        <v>1.125</v>
      </c>
      <c r="AF180" s="2">
        <v>793.75</v>
      </c>
      <c r="AG180" s="30" t="s">
        <v>37</v>
      </c>
      <c r="AH180" s="30">
        <v>1</v>
      </c>
      <c r="AI180" s="30">
        <v>2</v>
      </c>
      <c r="AJ180" s="30">
        <v>0</v>
      </c>
      <c r="AK180" s="30"/>
      <c r="AL180" s="30"/>
    </row>
    <row r="181" spans="1:38" hidden="1" x14ac:dyDescent="0.25">
      <c r="A181" s="21" t="s">
        <v>26</v>
      </c>
      <c r="B181" s="27" t="s">
        <v>272</v>
      </c>
      <c r="C181" s="3">
        <v>2016</v>
      </c>
      <c r="D181" s="3">
        <v>1</v>
      </c>
      <c r="E181" s="3" t="s">
        <v>37</v>
      </c>
      <c r="F181" s="3" t="s">
        <v>37</v>
      </c>
      <c r="G181" s="25">
        <v>9</v>
      </c>
      <c r="H181" s="23">
        <v>0</v>
      </c>
      <c r="I181" s="21">
        <f>G181-H181</f>
        <v>9</v>
      </c>
      <c r="J181" s="24">
        <f>H181/G181</f>
        <v>0</v>
      </c>
      <c r="K181" s="2">
        <v>0.25</v>
      </c>
      <c r="L181" s="27">
        <f t="shared" si="30"/>
        <v>9</v>
      </c>
      <c r="M181" s="27">
        <v>7.5</v>
      </c>
      <c r="N181" s="27"/>
      <c r="O181" s="27">
        <v>95</v>
      </c>
      <c r="P181" s="27"/>
      <c r="Q181" s="27"/>
      <c r="R181" s="27"/>
      <c r="S181" s="27"/>
      <c r="T181" s="30"/>
      <c r="U181" s="30"/>
      <c r="V181" s="30"/>
      <c r="W181" s="30"/>
      <c r="X181" s="30"/>
      <c r="Y181" s="30"/>
      <c r="Z181" s="30"/>
      <c r="AA181" s="30"/>
      <c r="AB181" s="30"/>
      <c r="AC181" s="2" t="s">
        <v>160</v>
      </c>
      <c r="AD181" s="3" t="s">
        <v>271</v>
      </c>
      <c r="AE181" s="3">
        <v>1.2222222222222223</v>
      </c>
      <c r="AF181" s="2">
        <v>987.55560000000003</v>
      </c>
      <c r="AG181" s="30">
        <v>62</v>
      </c>
      <c r="AH181" s="30">
        <v>1</v>
      </c>
      <c r="AI181" s="30">
        <v>2</v>
      </c>
      <c r="AJ181" s="30">
        <v>0</v>
      </c>
      <c r="AK181" s="30"/>
      <c r="AL181" s="30"/>
    </row>
    <row r="182" spans="1:38" hidden="1" x14ac:dyDescent="0.25">
      <c r="A182" s="21" t="s">
        <v>26</v>
      </c>
      <c r="B182" s="27" t="s">
        <v>272</v>
      </c>
      <c r="C182" s="3">
        <v>2017</v>
      </c>
      <c r="D182" s="3">
        <v>1</v>
      </c>
      <c r="E182" s="3" t="s">
        <v>37</v>
      </c>
      <c r="F182" s="3" t="s">
        <v>37</v>
      </c>
      <c r="G182" s="25">
        <v>11</v>
      </c>
      <c r="H182" s="23">
        <v>1</v>
      </c>
      <c r="I182" s="21">
        <f>G182-H182</f>
        <v>10</v>
      </c>
      <c r="J182" s="24">
        <f>H182/G182</f>
        <v>9.0909090909090912E-2</v>
      </c>
      <c r="K182" s="2">
        <v>0.25</v>
      </c>
      <c r="L182" s="27">
        <f t="shared" si="30"/>
        <v>11</v>
      </c>
      <c r="M182" s="27">
        <v>4.5</v>
      </c>
      <c r="N182" s="27"/>
      <c r="O182" s="27">
        <v>95</v>
      </c>
      <c r="P182" s="27"/>
      <c r="Q182" s="27"/>
      <c r="R182" s="27"/>
      <c r="S182" s="27"/>
      <c r="T182" s="30"/>
      <c r="U182" s="30"/>
      <c r="V182" s="30"/>
      <c r="W182" s="30"/>
      <c r="X182" s="30"/>
      <c r="Y182" s="30"/>
      <c r="Z182" s="30"/>
      <c r="AA182" s="30"/>
      <c r="AB182" s="30"/>
      <c r="AC182" s="2" t="s">
        <v>160</v>
      </c>
      <c r="AD182" s="3" t="s">
        <v>271</v>
      </c>
      <c r="AE182" s="3">
        <v>0.54545454545454541</v>
      </c>
      <c r="AF182" s="2">
        <v>899.33333333333337</v>
      </c>
      <c r="AG182" s="30">
        <v>59.95</v>
      </c>
      <c r="AH182" s="30">
        <v>1</v>
      </c>
      <c r="AI182" s="30">
        <v>2</v>
      </c>
      <c r="AJ182" s="30">
        <v>0</v>
      </c>
      <c r="AK182" s="30"/>
      <c r="AL182" s="30"/>
    </row>
    <row r="183" spans="1:38" hidden="1" x14ac:dyDescent="0.25">
      <c r="A183" s="21" t="s">
        <v>26</v>
      </c>
      <c r="B183" s="27" t="s">
        <v>272</v>
      </c>
      <c r="C183" s="3">
        <v>2018</v>
      </c>
      <c r="D183" s="3">
        <v>1</v>
      </c>
      <c r="E183" s="3" t="s">
        <v>37</v>
      </c>
      <c r="F183" s="3" t="s">
        <v>37</v>
      </c>
      <c r="G183" s="30" t="s">
        <v>37</v>
      </c>
      <c r="H183" s="27" t="s">
        <v>37</v>
      </c>
      <c r="I183" s="27" t="s">
        <v>37</v>
      </c>
      <c r="J183" s="27" t="s">
        <v>37</v>
      </c>
      <c r="K183" s="2" t="s">
        <v>37</v>
      </c>
      <c r="L183" s="24" t="s">
        <v>37</v>
      </c>
      <c r="M183" s="27" t="s">
        <v>37</v>
      </c>
      <c r="N183" s="27"/>
      <c r="O183" s="27" t="s">
        <v>37</v>
      </c>
      <c r="P183" s="27"/>
      <c r="Q183" s="27"/>
      <c r="R183" s="27"/>
      <c r="S183" s="27"/>
      <c r="T183" s="30"/>
      <c r="U183" s="30"/>
      <c r="V183" s="30"/>
      <c r="W183" s="30"/>
      <c r="X183" s="30"/>
      <c r="Y183" s="30"/>
      <c r="Z183" s="30"/>
      <c r="AA183" s="30"/>
      <c r="AB183" s="30"/>
      <c r="AC183" s="2" t="s">
        <v>178</v>
      </c>
      <c r="AD183" s="3" t="s">
        <v>271</v>
      </c>
      <c r="AE183" s="3" t="s">
        <v>37</v>
      </c>
      <c r="AF183" s="30" t="s">
        <v>37</v>
      </c>
      <c r="AG183" s="30" t="s">
        <v>37</v>
      </c>
      <c r="AH183" s="30">
        <v>1</v>
      </c>
      <c r="AI183" s="30">
        <v>2</v>
      </c>
      <c r="AJ183" s="30">
        <v>0</v>
      </c>
      <c r="AK183" s="30"/>
      <c r="AL183" s="30"/>
    </row>
    <row r="184" spans="1:38" hidden="1" x14ac:dyDescent="0.25">
      <c r="A184" s="21" t="s">
        <v>26</v>
      </c>
      <c r="B184" s="27" t="s">
        <v>272</v>
      </c>
      <c r="C184" s="3">
        <v>2019</v>
      </c>
      <c r="D184" s="3">
        <v>1</v>
      </c>
      <c r="E184" s="3" t="s">
        <v>37</v>
      </c>
      <c r="F184" s="3" t="s">
        <v>37</v>
      </c>
      <c r="G184" s="30">
        <f t="shared" ref="G184:G189" si="31">SUM(H184:I184)</f>
        <v>6</v>
      </c>
      <c r="H184" s="27">
        <v>0</v>
      </c>
      <c r="I184" s="21">
        <v>6</v>
      </c>
      <c r="J184" s="24">
        <f t="shared" ref="J184:J193" si="32">H184/G184</f>
        <v>0</v>
      </c>
      <c r="K184" s="30">
        <v>0.25</v>
      </c>
      <c r="L184" s="27">
        <f t="shared" ref="L184:L193" si="33">G184/(K184/0.25)</f>
        <v>6</v>
      </c>
      <c r="M184" s="27">
        <f>(6+7+7+8)/4</f>
        <v>7</v>
      </c>
      <c r="N184" s="27"/>
      <c r="O184" s="27">
        <v>90</v>
      </c>
      <c r="P184" s="27">
        <v>20</v>
      </c>
      <c r="Q184" s="27"/>
      <c r="R184" s="27"/>
      <c r="S184" s="27"/>
      <c r="T184" s="30"/>
      <c r="U184" s="30"/>
      <c r="V184" s="30"/>
      <c r="W184" s="30"/>
      <c r="X184" s="30"/>
      <c r="Y184" s="30"/>
      <c r="Z184" s="30"/>
      <c r="AA184" s="30"/>
      <c r="AB184" s="30"/>
      <c r="AC184" s="2"/>
      <c r="AD184" s="3" t="s">
        <v>271</v>
      </c>
      <c r="AE184" s="3">
        <v>1.5</v>
      </c>
      <c r="AF184" s="30" t="s">
        <v>37</v>
      </c>
      <c r="AG184" s="30" t="s">
        <v>37</v>
      </c>
      <c r="AH184" s="30">
        <v>1</v>
      </c>
      <c r="AI184" s="30">
        <v>2</v>
      </c>
      <c r="AJ184" s="30">
        <v>0</v>
      </c>
      <c r="AK184" s="32">
        <v>43637</v>
      </c>
      <c r="AL184" s="30">
        <v>5</v>
      </c>
    </row>
    <row r="185" spans="1:38" hidden="1" x14ac:dyDescent="0.25">
      <c r="A185" s="21" t="s">
        <v>26</v>
      </c>
      <c r="B185" s="27" t="s">
        <v>272</v>
      </c>
      <c r="C185" s="3">
        <v>2020</v>
      </c>
      <c r="D185" s="3">
        <v>1</v>
      </c>
      <c r="E185" s="3" t="s">
        <v>37</v>
      </c>
      <c r="F185" s="3" t="s">
        <v>37</v>
      </c>
      <c r="G185" s="30">
        <f t="shared" si="31"/>
        <v>9</v>
      </c>
      <c r="H185" s="27">
        <v>0</v>
      </c>
      <c r="I185" s="21">
        <v>9</v>
      </c>
      <c r="J185" s="24">
        <f t="shared" si="32"/>
        <v>0</v>
      </c>
      <c r="K185" s="30">
        <v>0.25</v>
      </c>
      <c r="L185" s="27">
        <f t="shared" si="33"/>
        <v>9</v>
      </c>
      <c r="M185" s="27">
        <v>17.5</v>
      </c>
      <c r="N185" s="27"/>
      <c r="O185" s="27">
        <v>100</v>
      </c>
      <c r="P185" s="27">
        <v>10</v>
      </c>
      <c r="Q185" s="27"/>
      <c r="R185" s="27">
        <v>10</v>
      </c>
      <c r="S185" s="27" t="s">
        <v>202</v>
      </c>
      <c r="T185" s="30"/>
      <c r="U185" s="30"/>
      <c r="V185" s="30"/>
      <c r="W185" s="30"/>
      <c r="X185" s="30"/>
      <c r="Y185" s="30"/>
      <c r="Z185" s="30"/>
      <c r="AA185" s="30"/>
      <c r="AB185" s="30"/>
      <c r="AC185" s="2" t="s">
        <v>178</v>
      </c>
      <c r="AD185" s="3" t="s">
        <v>271</v>
      </c>
      <c r="AE185" s="3" t="s">
        <v>37</v>
      </c>
      <c r="AF185" s="30" t="s">
        <v>37</v>
      </c>
      <c r="AG185" s="30"/>
      <c r="AH185" s="30">
        <v>1</v>
      </c>
      <c r="AI185" s="30">
        <v>2</v>
      </c>
      <c r="AJ185" s="30">
        <v>0</v>
      </c>
      <c r="AK185" s="32" t="s">
        <v>163</v>
      </c>
      <c r="AL185" s="30"/>
    </row>
    <row r="186" spans="1:38" hidden="1" x14ac:dyDescent="0.25">
      <c r="A186" s="27" t="s">
        <v>26</v>
      </c>
      <c r="B186" s="27" t="s">
        <v>272</v>
      </c>
      <c r="C186" s="34">
        <v>2021</v>
      </c>
      <c r="D186" s="34">
        <v>1</v>
      </c>
      <c r="E186" s="30" t="s">
        <v>227</v>
      </c>
      <c r="F186" s="30">
        <v>7</v>
      </c>
      <c r="G186" s="30">
        <f t="shared" si="31"/>
        <v>3</v>
      </c>
      <c r="H186" s="27">
        <v>1</v>
      </c>
      <c r="I186" s="27">
        <v>2</v>
      </c>
      <c r="J186" s="24">
        <f t="shared" si="32"/>
        <v>0.33333333333333331</v>
      </c>
      <c r="K186" s="30">
        <v>0.25</v>
      </c>
      <c r="L186" s="27">
        <f t="shared" si="33"/>
        <v>3</v>
      </c>
      <c r="M186" s="27" t="s">
        <v>37</v>
      </c>
      <c r="N186" s="27"/>
      <c r="O186" s="27">
        <v>95</v>
      </c>
      <c r="P186" s="27">
        <v>2</v>
      </c>
      <c r="Q186" s="27">
        <v>5</v>
      </c>
      <c r="R186" s="27">
        <v>20</v>
      </c>
      <c r="S186" s="27" t="s">
        <v>202</v>
      </c>
      <c r="T186" s="30"/>
      <c r="U186" s="30"/>
      <c r="V186" s="30"/>
      <c r="W186" s="30" t="s">
        <v>37</v>
      </c>
      <c r="X186" s="30" t="s">
        <v>37</v>
      </c>
      <c r="Y186" s="30" t="s">
        <v>37</v>
      </c>
      <c r="Z186" s="30" t="s">
        <v>37</v>
      </c>
      <c r="AA186" s="30"/>
      <c r="AB186" s="30"/>
      <c r="AD186" s="30" t="s">
        <v>271</v>
      </c>
      <c r="AE186" s="30" t="s">
        <v>37</v>
      </c>
      <c r="AF186" s="30" t="s">
        <v>37</v>
      </c>
      <c r="AG186" s="30" t="s">
        <v>37</v>
      </c>
      <c r="AH186" s="30">
        <v>1</v>
      </c>
      <c r="AI186" s="30">
        <v>2</v>
      </c>
      <c r="AJ186" s="30">
        <v>0</v>
      </c>
      <c r="AK186" s="32">
        <v>44379</v>
      </c>
      <c r="AL186" s="30"/>
    </row>
    <row r="187" spans="1:38" hidden="1" x14ac:dyDescent="0.25">
      <c r="A187" s="40" t="s">
        <v>26</v>
      </c>
      <c r="B187" s="40" t="s">
        <v>272</v>
      </c>
      <c r="C187" s="15">
        <v>2022</v>
      </c>
      <c r="D187" s="15">
        <v>1</v>
      </c>
      <c r="E187" s="30" t="s">
        <v>227</v>
      </c>
      <c r="F187" s="30">
        <v>7</v>
      </c>
      <c r="G187" s="14">
        <f t="shared" si="31"/>
        <v>11</v>
      </c>
      <c r="H187" s="19">
        <v>1</v>
      </c>
      <c r="I187" s="19">
        <v>10</v>
      </c>
      <c r="J187" s="24">
        <f t="shared" si="32"/>
        <v>9.0909090909090912E-2</v>
      </c>
      <c r="K187" s="14">
        <v>0.25</v>
      </c>
      <c r="L187" s="19">
        <f t="shared" si="33"/>
        <v>11</v>
      </c>
      <c r="M187" s="19">
        <f>AVERAGE(W187:Z187)</f>
        <v>23</v>
      </c>
      <c r="O187" s="19">
        <v>100</v>
      </c>
      <c r="P187" s="19">
        <v>0</v>
      </c>
      <c r="Q187" s="19">
        <v>2</v>
      </c>
      <c r="R187" s="19">
        <v>8</v>
      </c>
      <c r="S187" s="40" t="s">
        <v>202</v>
      </c>
      <c r="T187" s="41" t="s">
        <v>184</v>
      </c>
      <c r="U187" s="14">
        <v>2</v>
      </c>
      <c r="W187" s="14">
        <v>21</v>
      </c>
      <c r="X187" s="14">
        <v>22</v>
      </c>
      <c r="Y187" s="14">
        <v>25</v>
      </c>
      <c r="Z187" s="14">
        <v>24</v>
      </c>
      <c r="AF187" s="41" t="s">
        <v>37</v>
      </c>
      <c r="AK187" s="42">
        <v>44747</v>
      </c>
    </row>
    <row r="188" spans="1:38" hidden="1" x14ac:dyDescent="0.25">
      <c r="A188" s="40" t="s">
        <v>26</v>
      </c>
      <c r="B188" s="40" t="s">
        <v>272</v>
      </c>
      <c r="C188" s="34">
        <v>2023</v>
      </c>
      <c r="D188" s="15">
        <v>1</v>
      </c>
      <c r="E188" s="30" t="s">
        <v>227</v>
      </c>
      <c r="F188" s="30">
        <v>7</v>
      </c>
      <c r="G188" s="14">
        <f t="shared" si="31"/>
        <v>11</v>
      </c>
      <c r="H188" s="19">
        <v>3</v>
      </c>
      <c r="I188" s="19">
        <v>8</v>
      </c>
      <c r="J188" s="24">
        <f t="shared" si="32"/>
        <v>0.27272727272727271</v>
      </c>
      <c r="K188" s="14">
        <v>0.25</v>
      </c>
      <c r="L188" s="19">
        <f t="shared" si="33"/>
        <v>11</v>
      </c>
      <c r="M188" s="19">
        <f>AVERAGE(W188:Z188)</f>
        <v>28.25</v>
      </c>
      <c r="N188" s="19">
        <f>AVERAGE(AA188:AB188)</f>
        <v>19.5</v>
      </c>
      <c r="O188" s="19">
        <v>100</v>
      </c>
      <c r="P188" s="19">
        <v>0</v>
      </c>
      <c r="Q188" s="19">
        <v>2</v>
      </c>
      <c r="R188" s="19">
        <v>40</v>
      </c>
      <c r="S188" s="59" t="s">
        <v>611</v>
      </c>
      <c r="T188" s="57" t="s">
        <v>184</v>
      </c>
      <c r="U188" s="14">
        <v>1</v>
      </c>
      <c r="W188" s="14">
        <v>28</v>
      </c>
      <c r="X188" s="14">
        <v>30</v>
      </c>
      <c r="Y188" s="14">
        <v>34</v>
      </c>
      <c r="Z188" s="14">
        <v>21</v>
      </c>
      <c r="AA188" s="14">
        <v>23</v>
      </c>
      <c r="AB188" s="14">
        <v>16</v>
      </c>
      <c r="AF188" s="41" t="s">
        <v>37</v>
      </c>
      <c r="AH188" s="57" t="s">
        <v>577</v>
      </c>
      <c r="AK188" s="42">
        <v>44747</v>
      </c>
    </row>
    <row r="189" spans="1:38" hidden="1" x14ac:dyDescent="0.25">
      <c r="A189" s="40" t="s">
        <v>26</v>
      </c>
      <c r="B189" s="40" t="s">
        <v>272</v>
      </c>
      <c r="C189" s="34">
        <v>2024</v>
      </c>
      <c r="D189" s="15">
        <v>1</v>
      </c>
      <c r="E189" s="30" t="s">
        <v>227</v>
      </c>
      <c r="F189" s="30">
        <v>7</v>
      </c>
      <c r="G189" s="14">
        <f t="shared" si="31"/>
        <v>1</v>
      </c>
      <c r="H189" s="19">
        <v>0</v>
      </c>
      <c r="I189" s="19">
        <v>1</v>
      </c>
      <c r="J189" s="24">
        <f t="shared" si="32"/>
        <v>0</v>
      </c>
      <c r="K189" s="14">
        <v>0.25</v>
      </c>
      <c r="L189" s="19">
        <f t="shared" si="33"/>
        <v>1</v>
      </c>
      <c r="M189" s="19">
        <f>AVERAGE(X189:Z189)</f>
        <v>23</v>
      </c>
      <c r="O189" s="19">
        <v>100</v>
      </c>
      <c r="P189" s="19">
        <v>1</v>
      </c>
      <c r="Q189" s="19">
        <v>0</v>
      </c>
      <c r="W189" s="14">
        <v>29</v>
      </c>
      <c r="X189" s="14">
        <v>25</v>
      </c>
      <c r="Y189" s="14">
        <v>21</v>
      </c>
      <c r="Z189" s="14">
        <v>23</v>
      </c>
    </row>
    <row r="190" spans="1:38" hidden="1" x14ac:dyDescent="0.25">
      <c r="A190" s="21" t="s">
        <v>26</v>
      </c>
      <c r="B190" s="27" t="s">
        <v>182</v>
      </c>
      <c r="C190" s="3">
        <v>2014</v>
      </c>
      <c r="D190" s="3">
        <v>1</v>
      </c>
      <c r="E190" s="3" t="s">
        <v>37</v>
      </c>
      <c r="F190" s="3" t="s">
        <v>37</v>
      </c>
      <c r="G190" s="2">
        <v>27</v>
      </c>
      <c r="H190" s="21">
        <v>6</v>
      </c>
      <c r="I190" s="21">
        <f>G190-H190</f>
        <v>21</v>
      </c>
      <c r="J190" s="24">
        <f t="shared" si="32"/>
        <v>0.22222222222222221</v>
      </c>
      <c r="K190" s="2">
        <v>0.140625</v>
      </c>
      <c r="L190" s="27">
        <f t="shared" si="33"/>
        <v>48</v>
      </c>
      <c r="M190" s="27">
        <v>15</v>
      </c>
      <c r="N190" s="27"/>
      <c r="O190" s="27">
        <v>75</v>
      </c>
      <c r="P190" s="27"/>
      <c r="Q190" s="27"/>
      <c r="R190" s="27"/>
      <c r="S190" s="27"/>
      <c r="T190" s="30"/>
      <c r="U190" s="30"/>
      <c r="V190" s="30"/>
      <c r="W190" s="30"/>
      <c r="X190" s="30"/>
      <c r="Y190" s="30"/>
      <c r="Z190" s="30"/>
      <c r="AA190" s="30"/>
      <c r="AB190" s="30"/>
      <c r="AC190" s="2" t="s">
        <v>160</v>
      </c>
      <c r="AD190" s="3" t="s">
        <v>181</v>
      </c>
      <c r="AE190" s="3">
        <v>1.962962962962963</v>
      </c>
      <c r="AF190" s="2">
        <v>983.66666666666663</v>
      </c>
      <c r="AG190" s="30">
        <v>54.8</v>
      </c>
      <c r="AH190" s="30">
        <v>1</v>
      </c>
      <c r="AI190" s="30">
        <v>1</v>
      </c>
      <c r="AJ190" s="30">
        <v>0</v>
      </c>
      <c r="AK190" s="30"/>
      <c r="AL190" s="30"/>
    </row>
    <row r="191" spans="1:38" hidden="1" x14ac:dyDescent="0.25">
      <c r="A191" s="21" t="s">
        <v>26</v>
      </c>
      <c r="B191" s="27" t="s">
        <v>182</v>
      </c>
      <c r="C191" s="3">
        <v>2015</v>
      </c>
      <c r="D191" s="3">
        <v>1</v>
      </c>
      <c r="E191" s="3" t="s">
        <v>37</v>
      </c>
      <c r="F191" s="3" t="s">
        <v>37</v>
      </c>
      <c r="G191" s="2">
        <v>53</v>
      </c>
      <c r="H191" s="21">
        <v>3</v>
      </c>
      <c r="I191" s="21">
        <f>G191-H191</f>
        <v>50</v>
      </c>
      <c r="J191" s="24">
        <f t="shared" si="32"/>
        <v>5.6603773584905662E-2</v>
      </c>
      <c r="K191" s="2">
        <v>0.140625</v>
      </c>
      <c r="L191" s="27">
        <f t="shared" si="33"/>
        <v>94.222222222222229</v>
      </c>
      <c r="M191" s="27" t="s">
        <v>37</v>
      </c>
      <c r="N191" s="27"/>
      <c r="O191" s="27" t="s">
        <v>37</v>
      </c>
      <c r="P191" s="27"/>
      <c r="Q191" s="27"/>
      <c r="R191" s="27"/>
      <c r="S191" s="27"/>
      <c r="T191" s="30"/>
      <c r="U191" s="30"/>
      <c r="V191" s="30"/>
      <c r="W191" s="30"/>
      <c r="X191" s="30"/>
      <c r="Y191" s="30"/>
      <c r="Z191" s="30"/>
      <c r="AA191" s="30"/>
      <c r="AB191" s="30"/>
      <c r="AC191" s="2" t="s">
        <v>160</v>
      </c>
      <c r="AD191" s="3" t="s">
        <v>181</v>
      </c>
      <c r="AE191" s="3">
        <v>0.71698113207547165</v>
      </c>
      <c r="AF191" s="2">
        <v>517.24528301886789</v>
      </c>
      <c r="AG191" s="30" t="s">
        <v>37</v>
      </c>
      <c r="AH191" s="30">
        <v>1</v>
      </c>
      <c r="AI191" s="30">
        <v>2</v>
      </c>
      <c r="AJ191" s="30">
        <v>0</v>
      </c>
      <c r="AK191" s="30"/>
      <c r="AL191" s="30"/>
    </row>
    <row r="192" spans="1:38" hidden="1" x14ac:dyDescent="0.25">
      <c r="A192" s="21" t="s">
        <v>26</v>
      </c>
      <c r="B192" s="27" t="s">
        <v>182</v>
      </c>
      <c r="C192" s="3">
        <v>2016</v>
      </c>
      <c r="D192" s="3">
        <v>1</v>
      </c>
      <c r="E192" s="3" t="s">
        <v>37</v>
      </c>
      <c r="F192" s="3" t="s">
        <v>37</v>
      </c>
      <c r="G192" s="25">
        <v>38</v>
      </c>
      <c r="H192" s="23">
        <v>4</v>
      </c>
      <c r="I192" s="21">
        <f>G192-H192</f>
        <v>34</v>
      </c>
      <c r="J192" s="24">
        <f t="shared" si="32"/>
        <v>0.10526315789473684</v>
      </c>
      <c r="K192" s="2">
        <v>0.140625</v>
      </c>
      <c r="L192" s="27">
        <f t="shared" si="33"/>
        <v>67.555555555555557</v>
      </c>
      <c r="M192" s="27">
        <v>6.25</v>
      </c>
      <c r="N192" s="27"/>
      <c r="O192" s="27">
        <v>95</v>
      </c>
      <c r="P192" s="27"/>
      <c r="Q192" s="27"/>
      <c r="R192" s="27"/>
      <c r="S192" s="27"/>
      <c r="T192" s="30"/>
      <c r="U192" s="30"/>
      <c r="V192" s="30"/>
      <c r="W192" s="30"/>
      <c r="X192" s="30"/>
      <c r="Y192" s="30"/>
      <c r="Z192" s="30"/>
      <c r="AA192" s="30"/>
      <c r="AB192" s="30"/>
      <c r="AC192" s="2" t="s">
        <v>160</v>
      </c>
      <c r="AD192" s="3" t="s">
        <v>181</v>
      </c>
      <c r="AE192" s="3">
        <v>1.1842105263157894</v>
      </c>
      <c r="AF192" s="2">
        <v>605.44740000000002</v>
      </c>
      <c r="AG192" s="30">
        <v>62.8</v>
      </c>
      <c r="AH192" s="30">
        <v>1</v>
      </c>
      <c r="AI192" s="30">
        <v>2</v>
      </c>
      <c r="AJ192" s="30">
        <v>0</v>
      </c>
      <c r="AK192" s="30"/>
      <c r="AL192" s="30"/>
    </row>
    <row r="193" spans="1:38" hidden="1" x14ac:dyDescent="0.25">
      <c r="A193" s="21" t="s">
        <v>26</v>
      </c>
      <c r="B193" s="27" t="s">
        <v>182</v>
      </c>
      <c r="C193" s="3">
        <v>2017</v>
      </c>
      <c r="D193" s="3">
        <v>1</v>
      </c>
      <c r="E193" s="3" t="s">
        <v>37</v>
      </c>
      <c r="F193" s="3" t="s">
        <v>37</v>
      </c>
      <c r="G193" s="25">
        <v>45</v>
      </c>
      <c r="H193" s="23">
        <v>6</v>
      </c>
      <c r="I193" s="21">
        <f>G193-H193</f>
        <v>39</v>
      </c>
      <c r="J193" s="24">
        <f t="shared" si="32"/>
        <v>0.13333333333333333</v>
      </c>
      <c r="K193" s="2">
        <v>0.140625</v>
      </c>
      <c r="L193" s="27">
        <f t="shared" si="33"/>
        <v>80</v>
      </c>
      <c r="M193" s="27">
        <v>8.5</v>
      </c>
      <c r="N193" s="27"/>
      <c r="O193" s="27">
        <v>95</v>
      </c>
      <c r="P193" s="27"/>
      <c r="Q193" s="27"/>
      <c r="R193" s="27"/>
      <c r="S193" s="27"/>
      <c r="T193" s="30"/>
      <c r="U193" s="30"/>
      <c r="V193" s="30"/>
      <c r="W193" s="30"/>
      <c r="X193" s="30"/>
      <c r="Y193" s="30"/>
      <c r="Z193" s="30"/>
      <c r="AA193" s="30"/>
      <c r="AB193" s="30"/>
      <c r="AC193" s="2" t="s">
        <v>160</v>
      </c>
      <c r="AD193" s="3" t="s">
        <v>181</v>
      </c>
      <c r="AE193" s="3">
        <v>3.7499999999999999E-2</v>
      </c>
      <c r="AF193" s="2">
        <v>748.42222222222222</v>
      </c>
      <c r="AG193" s="30">
        <v>64.7</v>
      </c>
      <c r="AH193" s="30">
        <v>1</v>
      </c>
      <c r="AI193" s="30">
        <v>2</v>
      </c>
      <c r="AJ193" s="30">
        <v>0</v>
      </c>
      <c r="AK193" s="30"/>
      <c r="AL193" s="30"/>
    </row>
    <row r="194" spans="1:38" hidden="1" x14ac:dyDescent="0.25">
      <c r="A194" s="21" t="s">
        <v>26</v>
      </c>
      <c r="B194" s="27" t="s">
        <v>182</v>
      </c>
      <c r="C194" s="3">
        <v>2018</v>
      </c>
      <c r="D194" s="3">
        <v>1</v>
      </c>
      <c r="E194" s="3" t="s">
        <v>37</v>
      </c>
      <c r="F194" s="3" t="s">
        <v>37</v>
      </c>
      <c r="G194" s="30" t="s">
        <v>37</v>
      </c>
      <c r="H194" s="27" t="s">
        <v>37</v>
      </c>
      <c r="I194" s="27" t="s">
        <v>37</v>
      </c>
      <c r="J194" s="27" t="s">
        <v>37</v>
      </c>
      <c r="K194" s="2" t="s">
        <v>37</v>
      </c>
      <c r="L194" s="24" t="s">
        <v>37</v>
      </c>
      <c r="M194" s="27" t="s">
        <v>37</v>
      </c>
      <c r="N194" s="27"/>
      <c r="O194" s="27" t="s">
        <v>37</v>
      </c>
      <c r="P194" s="27"/>
      <c r="Q194" s="27"/>
      <c r="R194" s="27"/>
      <c r="S194" s="27"/>
      <c r="T194" s="30"/>
      <c r="U194" s="30"/>
      <c r="V194" s="30"/>
      <c r="W194" s="30"/>
      <c r="X194" s="30"/>
      <c r="Y194" s="30"/>
      <c r="Z194" s="30"/>
      <c r="AA194" s="30"/>
      <c r="AB194" s="30"/>
      <c r="AC194" s="2" t="s">
        <v>178</v>
      </c>
      <c r="AD194" s="3" t="s">
        <v>181</v>
      </c>
      <c r="AE194" s="3" t="s">
        <v>37</v>
      </c>
      <c r="AF194" s="30" t="s">
        <v>37</v>
      </c>
      <c r="AG194" s="30" t="s">
        <v>37</v>
      </c>
      <c r="AH194" s="30">
        <v>1</v>
      </c>
      <c r="AI194" s="30">
        <v>2</v>
      </c>
      <c r="AJ194" s="30">
        <v>0</v>
      </c>
      <c r="AK194" s="30"/>
      <c r="AL194" s="30"/>
    </row>
    <row r="195" spans="1:38" hidden="1" x14ac:dyDescent="0.25">
      <c r="A195" s="21" t="s">
        <v>26</v>
      </c>
      <c r="B195" s="27" t="s">
        <v>182</v>
      </c>
      <c r="C195" s="3">
        <v>2019</v>
      </c>
      <c r="D195" s="3">
        <v>1</v>
      </c>
      <c r="E195" s="3" t="s">
        <v>37</v>
      </c>
      <c r="F195" s="3" t="s">
        <v>37</v>
      </c>
      <c r="G195" s="30">
        <f t="shared" ref="G195:G200" si="34">SUM(H195:I195)</f>
        <v>3</v>
      </c>
      <c r="H195" s="27">
        <v>0</v>
      </c>
      <c r="I195" s="21">
        <v>3</v>
      </c>
      <c r="J195" s="24">
        <f t="shared" ref="J195:J204" si="35">H195/G195</f>
        <v>0</v>
      </c>
      <c r="K195" s="30">
        <v>0.25</v>
      </c>
      <c r="L195" s="27">
        <f t="shared" ref="L195:L204" si="36">G195/(K195/0.25)</f>
        <v>3</v>
      </c>
      <c r="M195" s="27">
        <f>(17+10+10+12)/4</f>
        <v>12.25</v>
      </c>
      <c r="N195" s="27"/>
      <c r="O195" s="27">
        <v>75</v>
      </c>
      <c r="P195" s="27">
        <v>60</v>
      </c>
      <c r="Q195" s="27"/>
      <c r="R195" s="27"/>
      <c r="S195" s="27"/>
      <c r="T195" s="30" t="s">
        <v>183</v>
      </c>
      <c r="U195" s="30">
        <v>3</v>
      </c>
      <c r="V195" s="30"/>
      <c r="W195" s="30"/>
      <c r="X195" s="30"/>
      <c r="Y195" s="30"/>
      <c r="Z195" s="30"/>
      <c r="AA195" s="30"/>
      <c r="AB195" s="30"/>
      <c r="AC195" s="2" t="s">
        <v>178</v>
      </c>
      <c r="AD195" s="3" t="s">
        <v>181</v>
      </c>
      <c r="AE195" s="3">
        <v>4</v>
      </c>
      <c r="AF195" s="30" t="s">
        <v>37</v>
      </c>
      <c r="AG195" s="30"/>
      <c r="AH195" s="30">
        <v>1</v>
      </c>
      <c r="AI195" s="30">
        <v>2</v>
      </c>
      <c r="AJ195" s="30">
        <v>0</v>
      </c>
      <c r="AK195" s="32">
        <v>43637</v>
      </c>
      <c r="AL195" s="30">
        <v>3</v>
      </c>
    </row>
    <row r="196" spans="1:38" hidden="1" x14ac:dyDescent="0.25">
      <c r="A196" s="21" t="s">
        <v>26</v>
      </c>
      <c r="B196" s="27" t="s">
        <v>182</v>
      </c>
      <c r="C196" s="3">
        <v>2020</v>
      </c>
      <c r="D196" s="3">
        <v>1</v>
      </c>
      <c r="E196" s="3" t="s">
        <v>37</v>
      </c>
      <c r="F196" s="3" t="s">
        <v>37</v>
      </c>
      <c r="G196" s="30">
        <f t="shared" si="34"/>
        <v>12</v>
      </c>
      <c r="H196" s="27">
        <v>1</v>
      </c>
      <c r="I196" s="21">
        <v>11</v>
      </c>
      <c r="J196" s="24">
        <f t="shared" si="35"/>
        <v>8.3333333333333329E-2</v>
      </c>
      <c r="K196" s="30">
        <v>0.25</v>
      </c>
      <c r="L196" s="27">
        <f t="shared" si="36"/>
        <v>12</v>
      </c>
      <c r="M196" s="27" t="s">
        <v>37</v>
      </c>
      <c r="N196" s="27"/>
      <c r="O196" s="27">
        <v>100</v>
      </c>
      <c r="P196" s="27">
        <v>20</v>
      </c>
      <c r="Q196" s="27"/>
      <c r="R196" s="27">
        <v>3</v>
      </c>
      <c r="S196" s="27" t="s">
        <v>180</v>
      </c>
      <c r="T196" s="30" t="s">
        <v>184</v>
      </c>
      <c r="U196" s="30"/>
      <c r="V196" s="30"/>
      <c r="W196" s="30"/>
      <c r="X196" s="30"/>
      <c r="Y196" s="30"/>
      <c r="Z196" s="30"/>
      <c r="AA196" s="30"/>
      <c r="AB196" s="30"/>
      <c r="AC196" s="2" t="s">
        <v>178</v>
      </c>
      <c r="AD196" s="3" t="s">
        <v>181</v>
      </c>
      <c r="AE196" s="3" t="s">
        <v>37</v>
      </c>
      <c r="AF196" s="30" t="s">
        <v>37</v>
      </c>
      <c r="AG196" s="30"/>
      <c r="AH196" s="30">
        <v>1</v>
      </c>
      <c r="AI196" s="30">
        <v>2</v>
      </c>
      <c r="AJ196" s="30">
        <v>0</v>
      </c>
      <c r="AK196" s="32" t="s">
        <v>163</v>
      </c>
      <c r="AL196" s="30"/>
    </row>
    <row r="197" spans="1:38" hidden="1" x14ac:dyDescent="0.25">
      <c r="A197" s="27" t="s">
        <v>26</v>
      </c>
      <c r="B197" s="27" t="s">
        <v>182</v>
      </c>
      <c r="C197" s="34">
        <v>2021</v>
      </c>
      <c r="D197" s="34">
        <v>1</v>
      </c>
      <c r="E197" s="30" t="s">
        <v>132</v>
      </c>
      <c r="F197" s="30">
        <v>3</v>
      </c>
      <c r="G197" s="30">
        <f t="shared" si="34"/>
        <v>8</v>
      </c>
      <c r="H197" s="27">
        <v>2</v>
      </c>
      <c r="I197" s="27">
        <v>6</v>
      </c>
      <c r="J197" s="24">
        <f t="shared" si="35"/>
        <v>0.25</v>
      </c>
      <c r="K197" s="30">
        <v>0.25</v>
      </c>
      <c r="L197" s="27">
        <f t="shared" si="36"/>
        <v>8</v>
      </c>
      <c r="M197" s="27">
        <f>AVERAGE(W197:Z197)</f>
        <v>17</v>
      </c>
      <c r="N197" s="27"/>
      <c r="O197" s="27">
        <v>95</v>
      </c>
      <c r="P197" s="27">
        <v>10</v>
      </c>
      <c r="Q197" s="27">
        <v>8</v>
      </c>
      <c r="R197" s="27">
        <v>3</v>
      </c>
      <c r="S197" s="27" t="s">
        <v>183</v>
      </c>
      <c r="T197" s="30" t="s">
        <v>183</v>
      </c>
      <c r="U197" s="30">
        <v>2</v>
      </c>
      <c r="V197" s="30"/>
      <c r="W197" s="30">
        <v>19</v>
      </c>
      <c r="X197" s="30">
        <v>20</v>
      </c>
      <c r="Y197" s="30">
        <v>14</v>
      </c>
      <c r="Z197" s="30">
        <v>15</v>
      </c>
      <c r="AA197" s="30"/>
      <c r="AB197" s="30"/>
      <c r="AC197" s="2" t="s">
        <v>178</v>
      </c>
      <c r="AD197" s="30" t="s">
        <v>181</v>
      </c>
      <c r="AE197" s="30" t="s">
        <v>37</v>
      </c>
      <c r="AF197" s="30" t="s">
        <v>37</v>
      </c>
      <c r="AG197" s="30" t="s">
        <v>37</v>
      </c>
      <c r="AH197" s="30">
        <v>1</v>
      </c>
      <c r="AI197" s="30">
        <v>2</v>
      </c>
      <c r="AJ197" s="30">
        <v>0</v>
      </c>
      <c r="AK197" s="32">
        <v>44379</v>
      </c>
      <c r="AL197" s="30"/>
    </row>
    <row r="198" spans="1:38" hidden="1" x14ac:dyDescent="0.25">
      <c r="A198" s="40" t="s">
        <v>26</v>
      </c>
      <c r="B198" s="40" t="s">
        <v>182</v>
      </c>
      <c r="C198" s="15">
        <v>2022</v>
      </c>
      <c r="D198" s="15">
        <v>1</v>
      </c>
      <c r="E198" s="30" t="s">
        <v>132</v>
      </c>
      <c r="F198" s="30">
        <v>3</v>
      </c>
      <c r="G198" s="14">
        <f t="shared" si="34"/>
        <v>18</v>
      </c>
      <c r="H198" s="19">
        <v>3</v>
      </c>
      <c r="I198" s="19">
        <v>15</v>
      </c>
      <c r="J198" s="24">
        <f t="shared" si="35"/>
        <v>0.16666666666666666</v>
      </c>
      <c r="K198" s="14">
        <v>0.25</v>
      </c>
      <c r="L198" s="19">
        <f t="shared" si="36"/>
        <v>18</v>
      </c>
      <c r="M198" s="19">
        <f>AVERAGE(W198:Z198)</f>
        <v>20.25</v>
      </c>
      <c r="O198" s="19">
        <v>98</v>
      </c>
      <c r="P198" s="19">
        <v>3</v>
      </c>
      <c r="Q198" s="19">
        <v>18</v>
      </c>
      <c r="R198" s="19">
        <v>1</v>
      </c>
      <c r="S198" s="40" t="s">
        <v>102</v>
      </c>
      <c r="T198" s="41" t="s">
        <v>507</v>
      </c>
      <c r="U198" s="14">
        <v>9</v>
      </c>
      <c r="W198" s="14">
        <v>20</v>
      </c>
      <c r="X198" s="14">
        <v>25</v>
      </c>
      <c r="Y198" s="14">
        <v>19</v>
      </c>
      <c r="Z198" s="14">
        <v>17</v>
      </c>
      <c r="AF198" s="41" t="s">
        <v>37</v>
      </c>
      <c r="AK198" s="42">
        <v>44747</v>
      </c>
    </row>
    <row r="199" spans="1:38" hidden="1" x14ac:dyDescent="0.25">
      <c r="A199" s="40" t="s">
        <v>26</v>
      </c>
      <c r="B199" s="40" t="s">
        <v>182</v>
      </c>
      <c r="C199" s="34">
        <v>2023</v>
      </c>
      <c r="D199" s="15">
        <v>1</v>
      </c>
      <c r="E199" s="30" t="s">
        <v>132</v>
      </c>
      <c r="F199" s="30">
        <v>3</v>
      </c>
      <c r="G199" s="14">
        <f t="shared" si="34"/>
        <v>31</v>
      </c>
      <c r="H199" s="19">
        <v>8</v>
      </c>
      <c r="I199" s="19">
        <v>23</v>
      </c>
      <c r="J199" s="24">
        <f t="shared" si="35"/>
        <v>0.25806451612903225</v>
      </c>
      <c r="K199" s="14">
        <v>0.25</v>
      </c>
      <c r="L199" s="19">
        <f t="shared" si="36"/>
        <v>31</v>
      </c>
      <c r="M199" s="19">
        <f>AVERAGE(W199:Z199)</f>
        <v>18.75</v>
      </c>
      <c r="N199" s="19">
        <f>AVERAGE(AA199:AB199)</f>
        <v>29.75</v>
      </c>
      <c r="O199" s="19">
        <v>96</v>
      </c>
      <c r="P199" s="19">
        <v>1</v>
      </c>
      <c r="Q199" s="19">
        <v>16</v>
      </c>
      <c r="R199" s="19">
        <v>0</v>
      </c>
      <c r="S199" s="59" t="s">
        <v>37</v>
      </c>
      <c r="T199" s="57" t="s">
        <v>634</v>
      </c>
      <c r="U199" s="57" t="s">
        <v>635</v>
      </c>
      <c r="W199" s="14">
        <v>15</v>
      </c>
      <c r="X199" s="14">
        <v>18</v>
      </c>
      <c r="Y199" s="14">
        <v>23</v>
      </c>
      <c r="Z199" s="14">
        <v>19</v>
      </c>
      <c r="AA199" s="14">
        <v>30.5</v>
      </c>
      <c r="AB199" s="14">
        <v>29</v>
      </c>
      <c r="AF199" s="41" t="s">
        <v>37</v>
      </c>
      <c r="AH199" s="57" t="s">
        <v>577</v>
      </c>
      <c r="AK199" s="42">
        <v>44747</v>
      </c>
    </row>
    <row r="200" spans="1:38" hidden="1" x14ac:dyDescent="0.25">
      <c r="A200" s="40" t="s">
        <v>26</v>
      </c>
      <c r="B200" s="40" t="s">
        <v>182</v>
      </c>
      <c r="C200" s="34">
        <v>2024</v>
      </c>
      <c r="D200" s="15">
        <v>1</v>
      </c>
      <c r="E200" s="30" t="s">
        <v>132</v>
      </c>
      <c r="F200" s="30">
        <v>3</v>
      </c>
      <c r="G200" s="14">
        <f t="shared" si="34"/>
        <v>19</v>
      </c>
      <c r="H200" s="19">
        <v>3</v>
      </c>
      <c r="I200" s="19">
        <v>16</v>
      </c>
      <c r="J200" s="24">
        <f t="shared" si="35"/>
        <v>0.15789473684210525</v>
      </c>
      <c r="K200" s="14">
        <v>0.25</v>
      </c>
      <c r="L200" s="19">
        <f t="shared" si="36"/>
        <v>19</v>
      </c>
      <c r="M200" s="19">
        <f>AVERAGE(X200:Z200)</f>
        <v>18.666666666666668</v>
      </c>
      <c r="O200" s="19">
        <v>95</v>
      </c>
      <c r="P200" s="19">
        <v>1</v>
      </c>
      <c r="Q200" s="19">
        <v>5</v>
      </c>
      <c r="W200" s="14">
        <v>12</v>
      </c>
      <c r="X200" s="14">
        <v>13</v>
      </c>
      <c r="Y200" s="14">
        <v>16</v>
      </c>
      <c r="Z200" s="14">
        <v>27</v>
      </c>
    </row>
    <row r="201" spans="1:38" hidden="1" x14ac:dyDescent="0.25">
      <c r="A201" s="21" t="s">
        <v>26</v>
      </c>
      <c r="B201" s="27" t="s">
        <v>275</v>
      </c>
      <c r="C201" s="3">
        <v>2014</v>
      </c>
      <c r="D201" s="3">
        <v>1</v>
      </c>
      <c r="E201" s="3" t="s">
        <v>37</v>
      </c>
      <c r="F201" s="3" t="s">
        <v>37</v>
      </c>
      <c r="G201" s="2">
        <v>7</v>
      </c>
      <c r="H201" s="21">
        <v>1</v>
      </c>
      <c r="I201" s="21">
        <f>G201-H201</f>
        <v>6</v>
      </c>
      <c r="J201" s="24">
        <f t="shared" si="35"/>
        <v>0.14285714285714285</v>
      </c>
      <c r="K201" s="2">
        <v>0.25</v>
      </c>
      <c r="L201" s="27">
        <f t="shared" si="36"/>
        <v>7</v>
      </c>
      <c r="M201" s="27">
        <v>9</v>
      </c>
      <c r="N201" s="27"/>
      <c r="O201" s="27">
        <v>75</v>
      </c>
      <c r="P201" s="27"/>
      <c r="Q201" s="27"/>
      <c r="R201" s="27"/>
      <c r="S201" s="27"/>
      <c r="T201" s="30"/>
      <c r="U201" s="30"/>
      <c r="V201" s="30"/>
      <c r="W201" s="30"/>
      <c r="X201" s="30"/>
      <c r="Y201" s="30"/>
      <c r="Z201" s="30"/>
      <c r="AA201" s="30"/>
      <c r="AB201" s="30"/>
      <c r="AC201" s="2" t="s">
        <v>160</v>
      </c>
      <c r="AD201" s="3" t="s">
        <v>274</v>
      </c>
      <c r="AE201" s="3">
        <v>1.8571428571428572</v>
      </c>
      <c r="AF201" s="2">
        <v>540</v>
      </c>
      <c r="AG201" s="30">
        <v>58.6</v>
      </c>
      <c r="AH201" s="30">
        <v>1</v>
      </c>
      <c r="AI201" s="30">
        <v>1</v>
      </c>
      <c r="AJ201" s="30">
        <v>0</v>
      </c>
      <c r="AK201" s="30"/>
      <c r="AL201" s="30"/>
    </row>
    <row r="202" spans="1:38" hidden="1" x14ac:dyDescent="0.25">
      <c r="A202" s="21" t="s">
        <v>26</v>
      </c>
      <c r="B202" s="27" t="s">
        <v>275</v>
      </c>
      <c r="C202" s="3">
        <v>2015</v>
      </c>
      <c r="D202" s="3">
        <v>1</v>
      </c>
      <c r="E202" s="3" t="s">
        <v>37</v>
      </c>
      <c r="F202" s="3" t="s">
        <v>37</v>
      </c>
      <c r="G202" s="2">
        <v>13</v>
      </c>
      <c r="H202" s="21">
        <v>0</v>
      </c>
      <c r="I202" s="21">
        <f>G202-H202</f>
        <v>13</v>
      </c>
      <c r="J202" s="24">
        <f t="shared" si="35"/>
        <v>0</v>
      </c>
      <c r="K202" s="2">
        <v>0.25</v>
      </c>
      <c r="L202" s="27">
        <f t="shared" si="36"/>
        <v>13</v>
      </c>
      <c r="M202" s="27" t="s">
        <v>37</v>
      </c>
      <c r="N202" s="27"/>
      <c r="O202" s="27" t="s">
        <v>37</v>
      </c>
      <c r="P202" s="27"/>
      <c r="Q202" s="27"/>
      <c r="R202" s="27"/>
      <c r="S202" s="27"/>
      <c r="T202" s="30"/>
      <c r="U202" s="30"/>
      <c r="V202" s="30"/>
      <c r="W202" s="30"/>
      <c r="X202" s="30"/>
      <c r="Y202" s="30"/>
      <c r="Z202" s="30"/>
      <c r="AA202" s="30"/>
      <c r="AB202" s="30"/>
      <c r="AC202" s="2" t="s">
        <v>160</v>
      </c>
      <c r="AD202" s="3" t="s">
        <v>274</v>
      </c>
      <c r="AE202" s="3">
        <v>1.0769230769230769</v>
      </c>
      <c r="AF202" s="2">
        <v>283.23076923076923</v>
      </c>
      <c r="AG202" s="30" t="s">
        <v>37</v>
      </c>
      <c r="AH202" s="30">
        <v>1</v>
      </c>
      <c r="AI202" s="30">
        <v>2</v>
      </c>
      <c r="AJ202" s="30">
        <v>0</v>
      </c>
      <c r="AK202" s="30"/>
      <c r="AL202" s="30"/>
    </row>
    <row r="203" spans="1:38" hidden="1" x14ac:dyDescent="0.25">
      <c r="A203" s="21" t="s">
        <v>26</v>
      </c>
      <c r="B203" s="27" t="s">
        <v>275</v>
      </c>
      <c r="C203" s="3">
        <v>2016</v>
      </c>
      <c r="D203" s="3">
        <v>1</v>
      </c>
      <c r="E203" s="3" t="s">
        <v>37</v>
      </c>
      <c r="F203" s="3" t="s">
        <v>37</v>
      </c>
      <c r="G203" s="25">
        <v>14</v>
      </c>
      <c r="H203" s="23">
        <v>0</v>
      </c>
      <c r="I203" s="21">
        <f>G203-H203</f>
        <v>14</v>
      </c>
      <c r="J203" s="24">
        <f t="shared" si="35"/>
        <v>0</v>
      </c>
      <c r="K203" s="2">
        <v>0.25</v>
      </c>
      <c r="L203" s="27">
        <f t="shared" si="36"/>
        <v>14</v>
      </c>
      <c r="M203" s="27">
        <v>9.5</v>
      </c>
      <c r="N203" s="27"/>
      <c r="O203" s="27">
        <v>100</v>
      </c>
      <c r="P203" s="27"/>
      <c r="Q203" s="27"/>
      <c r="R203" s="27"/>
      <c r="S203" s="27"/>
      <c r="T203" s="30"/>
      <c r="U203" s="30"/>
      <c r="V203" s="30"/>
      <c r="W203" s="30"/>
      <c r="X203" s="30"/>
      <c r="Y203" s="30"/>
      <c r="Z203" s="30"/>
      <c r="AA203" s="30"/>
      <c r="AB203" s="30"/>
      <c r="AC203" s="2" t="s">
        <v>160</v>
      </c>
      <c r="AD203" s="3" t="s">
        <v>274</v>
      </c>
      <c r="AE203" s="3">
        <v>1</v>
      </c>
      <c r="AF203" s="2">
        <v>471.57139999999998</v>
      </c>
      <c r="AG203" s="30">
        <v>71.3</v>
      </c>
      <c r="AH203" s="30">
        <v>1</v>
      </c>
      <c r="AI203" s="30">
        <v>2</v>
      </c>
      <c r="AJ203" s="30">
        <v>0</v>
      </c>
      <c r="AK203" s="30"/>
      <c r="AL203" s="30"/>
    </row>
    <row r="204" spans="1:38" hidden="1" x14ac:dyDescent="0.25">
      <c r="A204" s="21" t="s">
        <v>26</v>
      </c>
      <c r="B204" s="27" t="s">
        <v>275</v>
      </c>
      <c r="C204" s="3">
        <v>2017</v>
      </c>
      <c r="D204" s="3">
        <v>1</v>
      </c>
      <c r="E204" s="3" t="s">
        <v>37</v>
      </c>
      <c r="F204" s="3" t="s">
        <v>37</v>
      </c>
      <c r="G204" s="25">
        <v>14</v>
      </c>
      <c r="H204" s="23">
        <v>1</v>
      </c>
      <c r="I204" s="21">
        <f>G204-H204</f>
        <v>13</v>
      </c>
      <c r="J204" s="24">
        <f t="shared" si="35"/>
        <v>7.1428571428571425E-2</v>
      </c>
      <c r="K204" s="2">
        <v>0.25</v>
      </c>
      <c r="L204" s="27">
        <f t="shared" si="36"/>
        <v>14</v>
      </c>
      <c r="M204" s="27">
        <v>10</v>
      </c>
      <c r="N204" s="27"/>
      <c r="O204" s="27">
        <v>100</v>
      </c>
      <c r="P204" s="27"/>
      <c r="Q204" s="27"/>
      <c r="R204" s="27"/>
      <c r="S204" s="27"/>
      <c r="T204" s="30"/>
      <c r="U204" s="30"/>
      <c r="V204" s="30"/>
      <c r="W204" s="30"/>
      <c r="X204" s="30"/>
      <c r="Y204" s="30"/>
      <c r="Z204" s="30"/>
      <c r="AA204" s="30"/>
      <c r="AB204" s="30"/>
      <c r="AC204" s="2" t="s">
        <v>160</v>
      </c>
      <c r="AD204" s="3" t="s">
        <v>274</v>
      </c>
      <c r="AE204" s="3">
        <v>1.4285714285714286</v>
      </c>
      <c r="AF204" s="2">
        <v>482.85714285714283</v>
      </c>
      <c r="AG204" s="30">
        <v>63.174999999999997</v>
      </c>
      <c r="AH204" s="30">
        <v>1</v>
      </c>
      <c r="AI204" s="30">
        <v>2</v>
      </c>
      <c r="AJ204" s="30">
        <v>0</v>
      </c>
      <c r="AK204" s="30"/>
      <c r="AL204" s="30"/>
    </row>
    <row r="205" spans="1:38" hidden="1" x14ac:dyDescent="0.25">
      <c r="A205" s="21" t="s">
        <v>26</v>
      </c>
      <c r="B205" s="27" t="s">
        <v>275</v>
      </c>
      <c r="C205" s="3">
        <v>2018</v>
      </c>
      <c r="D205" s="3">
        <v>1</v>
      </c>
      <c r="E205" s="3" t="s">
        <v>37</v>
      </c>
      <c r="F205" s="3" t="s">
        <v>37</v>
      </c>
      <c r="G205" s="30" t="s">
        <v>37</v>
      </c>
      <c r="H205" s="27" t="s">
        <v>37</v>
      </c>
      <c r="I205" s="27" t="s">
        <v>37</v>
      </c>
      <c r="J205" s="27" t="s">
        <v>37</v>
      </c>
      <c r="K205" s="2" t="s">
        <v>37</v>
      </c>
      <c r="L205" s="24" t="s">
        <v>37</v>
      </c>
      <c r="M205" s="27" t="s">
        <v>37</v>
      </c>
      <c r="N205" s="27"/>
      <c r="O205" s="27" t="s">
        <v>37</v>
      </c>
      <c r="P205" s="27"/>
      <c r="Q205" s="27"/>
      <c r="R205" s="27"/>
      <c r="S205" s="27"/>
      <c r="T205" s="30"/>
      <c r="U205" s="30"/>
      <c r="V205" s="30"/>
      <c r="W205" s="30"/>
      <c r="X205" s="30"/>
      <c r="Y205" s="30"/>
      <c r="Z205" s="30"/>
      <c r="AA205" s="30"/>
      <c r="AB205" s="30"/>
      <c r="AC205" s="2" t="s">
        <v>178</v>
      </c>
      <c r="AD205" s="3" t="s">
        <v>274</v>
      </c>
      <c r="AE205" s="3" t="s">
        <v>37</v>
      </c>
      <c r="AF205" s="30" t="s">
        <v>37</v>
      </c>
      <c r="AG205" s="30" t="s">
        <v>37</v>
      </c>
      <c r="AH205" s="30">
        <v>1</v>
      </c>
      <c r="AI205" s="30">
        <v>2</v>
      </c>
      <c r="AJ205" s="30">
        <v>0</v>
      </c>
      <c r="AK205" s="30"/>
      <c r="AL205" s="30"/>
    </row>
    <row r="206" spans="1:38" hidden="1" x14ac:dyDescent="0.25">
      <c r="A206" s="21" t="s">
        <v>26</v>
      </c>
      <c r="B206" s="27" t="s">
        <v>275</v>
      </c>
      <c r="C206" s="3">
        <v>2019</v>
      </c>
      <c r="D206" s="3">
        <v>1</v>
      </c>
      <c r="E206" s="3" t="s">
        <v>37</v>
      </c>
      <c r="F206" s="3" t="s">
        <v>37</v>
      </c>
      <c r="G206" s="30">
        <f t="shared" ref="G206:G239" si="37">SUM(H206:I206)</f>
        <v>20</v>
      </c>
      <c r="H206" s="27">
        <v>6</v>
      </c>
      <c r="I206" s="21">
        <v>14</v>
      </c>
      <c r="J206" s="24">
        <f t="shared" ref="J206:J215" si="38">H206/G206</f>
        <v>0.3</v>
      </c>
      <c r="K206" s="30">
        <v>0.25</v>
      </c>
      <c r="L206" s="27">
        <f t="shared" ref="L206:L243" si="39">G206/(K206/0.25)</f>
        <v>20</v>
      </c>
      <c r="M206" s="27">
        <f>(4+13+16+7)/4</f>
        <v>10</v>
      </c>
      <c r="N206" s="27"/>
      <c r="O206" s="27">
        <v>95</v>
      </c>
      <c r="P206" s="27">
        <v>5</v>
      </c>
      <c r="Q206" s="27"/>
      <c r="R206" s="27"/>
      <c r="S206" s="27"/>
      <c r="T206" s="30"/>
      <c r="U206" s="30"/>
      <c r="V206" s="30"/>
      <c r="W206" s="30"/>
      <c r="X206" s="30"/>
      <c r="Y206" s="30"/>
      <c r="Z206" s="30"/>
      <c r="AA206" s="30"/>
      <c r="AB206" s="30"/>
      <c r="AC206" s="2" t="s">
        <v>178</v>
      </c>
      <c r="AD206" s="3" t="s">
        <v>274</v>
      </c>
      <c r="AE206" s="3">
        <v>0.75</v>
      </c>
      <c r="AF206" s="30" t="s">
        <v>37</v>
      </c>
      <c r="AG206" s="30"/>
      <c r="AH206" s="30">
        <v>1</v>
      </c>
      <c r="AI206" s="30">
        <v>2</v>
      </c>
      <c r="AJ206" s="30">
        <v>0</v>
      </c>
      <c r="AK206" s="32">
        <v>43637</v>
      </c>
      <c r="AL206" s="30">
        <v>4</v>
      </c>
    </row>
    <row r="207" spans="1:38" hidden="1" x14ac:dyDescent="0.25">
      <c r="A207" s="21" t="s">
        <v>26</v>
      </c>
      <c r="B207" s="27" t="s">
        <v>275</v>
      </c>
      <c r="C207" s="3">
        <v>2020</v>
      </c>
      <c r="D207" s="3">
        <v>1</v>
      </c>
      <c r="E207" s="3" t="s">
        <v>37</v>
      </c>
      <c r="F207" s="3" t="s">
        <v>37</v>
      </c>
      <c r="G207" s="30">
        <f t="shared" si="37"/>
        <v>15</v>
      </c>
      <c r="H207" s="27">
        <v>0</v>
      </c>
      <c r="I207" s="21">
        <v>15</v>
      </c>
      <c r="J207" s="24">
        <f t="shared" si="38"/>
        <v>0</v>
      </c>
      <c r="K207" s="30">
        <v>0.25</v>
      </c>
      <c r="L207" s="27">
        <f t="shared" si="39"/>
        <v>15</v>
      </c>
      <c r="M207" s="27">
        <v>26.5</v>
      </c>
      <c r="N207" s="27"/>
      <c r="O207" s="27">
        <v>100</v>
      </c>
      <c r="P207" s="27">
        <v>0</v>
      </c>
      <c r="Q207" s="27"/>
      <c r="R207" s="27">
        <v>2.5</v>
      </c>
      <c r="S207" s="27" t="s">
        <v>202</v>
      </c>
      <c r="T207" s="30"/>
      <c r="U207" s="30"/>
      <c r="V207" s="30"/>
      <c r="W207" s="30"/>
      <c r="X207" s="30"/>
      <c r="Y207" s="30"/>
      <c r="Z207" s="30"/>
      <c r="AA207" s="30"/>
      <c r="AB207" s="30"/>
      <c r="AC207" s="2" t="s">
        <v>178</v>
      </c>
      <c r="AD207" s="3" t="s">
        <v>274</v>
      </c>
      <c r="AE207" s="3" t="s">
        <v>37</v>
      </c>
      <c r="AF207" s="30" t="s">
        <v>37</v>
      </c>
      <c r="AG207" s="30"/>
      <c r="AH207" s="30">
        <v>1</v>
      </c>
      <c r="AI207" s="30">
        <v>2</v>
      </c>
      <c r="AJ207" s="30">
        <v>0</v>
      </c>
      <c r="AK207" s="32" t="s">
        <v>163</v>
      </c>
      <c r="AL207" s="30"/>
    </row>
    <row r="208" spans="1:38" hidden="1" x14ac:dyDescent="0.25">
      <c r="A208" s="27" t="s">
        <v>26</v>
      </c>
      <c r="B208" s="27" t="s">
        <v>275</v>
      </c>
      <c r="C208" s="34">
        <v>2021</v>
      </c>
      <c r="D208" s="34">
        <v>1</v>
      </c>
      <c r="E208" s="30" t="s">
        <v>37</v>
      </c>
      <c r="F208" s="30" t="s">
        <v>37</v>
      </c>
      <c r="G208" s="30">
        <f t="shared" si="37"/>
        <v>8</v>
      </c>
      <c r="H208" s="27">
        <v>0</v>
      </c>
      <c r="I208" s="27">
        <v>8</v>
      </c>
      <c r="J208" s="24">
        <f t="shared" si="38"/>
        <v>0</v>
      </c>
      <c r="K208" s="30">
        <v>0.25</v>
      </c>
      <c r="L208" s="27">
        <f t="shared" si="39"/>
        <v>8</v>
      </c>
      <c r="M208" s="27">
        <f>AVERAGE(W208:Z208)</f>
        <v>25.5</v>
      </c>
      <c r="N208" s="27"/>
      <c r="O208" s="27">
        <v>100</v>
      </c>
      <c r="P208" s="27">
        <v>0</v>
      </c>
      <c r="Q208" s="27">
        <v>5</v>
      </c>
      <c r="R208" s="27">
        <f>25+5</f>
        <v>30</v>
      </c>
      <c r="S208" s="27" t="s">
        <v>276</v>
      </c>
      <c r="T208" s="30"/>
      <c r="U208" s="30"/>
      <c r="V208" s="30"/>
      <c r="W208" s="30">
        <v>28</v>
      </c>
      <c r="X208" s="30">
        <v>17</v>
      </c>
      <c r="Y208" s="30">
        <v>32</v>
      </c>
      <c r="Z208" s="30">
        <v>25</v>
      </c>
      <c r="AA208" s="30"/>
      <c r="AB208" s="30"/>
      <c r="AD208" s="30" t="s">
        <v>274</v>
      </c>
      <c r="AE208" s="30" t="s">
        <v>37</v>
      </c>
      <c r="AF208" s="30" t="s">
        <v>37</v>
      </c>
      <c r="AG208" s="30" t="s">
        <v>37</v>
      </c>
      <c r="AH208" s="30">
        <v>1</v>
      </c>
      <c r="AI208" s="30">
        <v>2</v>
      </c>
      <c r="AJ208" s="30">
        <v>0</v>
      </c>
      <c r="AK208" s="32">
        <v>44379</v>
      </c>
      <c r="AL208" s="30"/>
    </row>
    <row r="209" spans="1:38" hidden="1" x14ac:dyDescent="0.25">
      <c r="A209" s="40" t="s">
        <v>26</v>
      </c>
      <c r="B209" s="40" t="s">
        <v>275</v>
      </c>
      <c r="C209" s="15">
        <v>2022</v>
      </c>
      <c r="D209" s="15">
        <v>1</v>
      </c>
      <c r="E209" s="30" t="s">
        <v>37</v>
      </c>
      <c r="F209" s="30" t="s">
        <v>37</v>
      </c>
      <c r="G209" s="14">
        <f t="shared" si="37"/>
        <v>10</v>
      </c>
      <c r="H209" s="19">
        <v>0</v>
      </c>
      <c r="I209" s="19">
        <v>10</v>
      </c>
      <c r="J209" s="24">
        <f t="shared" si="38"/>
        <v>0</v>
      </c>
      <c r="K209" s="14">
        <v>0.25</v>
      </c>
      <c r="L209" s="19">
        <f t="shared" si="39"/>
        <v>10</v>
      </c>
      <c r="M209" s="19">
        <f>AVERAGE(W209:Z209)</f>
        <v>24.25</v>
      </c>
      <c r="O209" s="19">
        <v>100</v>
      </c>
      <c r="P209" s="19">
        <v>0</v>
      </c>
      <c r="Q209" s="19">
        <v>2</v>
      </c>
      <c r="R209" s="19">
        <v>34</v>
      </c>
      <c r="S209" s="40" t="s">
        <v>511</v>
      </c>
      <c r="T209" s="41" t="s">
        <v>512</v>
      </c>
      <c r="U209" s="14">
        <v>3</v>
      </c>
      <c r="W209" s="14">
        <v>22</v>
      </c>
      <c r="X209" s="14">
        <v>23</v>
      </c>
      <c r="Y209" s="14">
        <v>25</v>
      </c>
      <c r="Z209" s="14">
        <v>27</v>
      </c>
      <c r="AF209" s="41" t="s">
        <v>37</v>
      </c>
      <c r="AK209" s="42">
        <v>44747</v>
      </c>
    </row>
    <row r="210" spans="1:38" hidden="1" x14ac:dyDescent="0.25">
      <c r="A210" s="40" t="s">
        <v>26</v>
      </c>
      <c r="B210" s="40" t="s">
        <v>275</v>
      </c>
      <c r="C210" s="34">
        <v>2023</v>
      </c>
      <c r="D210" s="15">
        <v>1</v>
      </c>
      <c r="E210" s="30" t="s">
        <v>37</v>
      </c>
      <c r="F210" s="30" t="s">
        <v>37</v>
      </c>
      <c r="G210" s="14">
        <f t="shared" si="37"/>
        <v>10</v>
      </c>
      <c r="H210" s="19">
        <v>0</v>
      </c>
      <c r="I210" s="19">
        <v>10</v>
      </c>
      <c r="J210" s="24">
        <f t="shared" si="38"/>
        <v>0</v>
      </c>
      <c r="K210" s="14">
        <v>0.25</v>
      </c>
      <c r="L210" s="19">
        <f t="shared" si="39"/>
        <v>10</v>
      </c>
      <c r="M210" s="19">
        <f>AVERAGE(W210:Z210)</f>
        <v>27.5</v>
      </c>
      <c r="N210" s="19">
        <f>AVERAGE(AA210:AB210)</f>
        <v>21</v>
      </c>
      <c r="O210" s="19">
        <v>100</v>
      </c>
      <c r="P210" s="19">
        <v>1</v>
      </c>
      <c r="Q210" s="19">
        <v>15</v>
      </c>
      <c r="R210" s="59" t="s">
        <v>628</v>
      </c>
      <c r="S210" s="59" t="s">
        <v>629</v>
      </c>
      <c r="T210" s="57" t="s">
        <v>502</v>
      </c>
      <c r="U210" s="14">
        <v>8</v>
      </c>
      <c r="W210" s="14">
        <v>23</v>
      </c>
      <c r="X210" s="14">
        <v>32</v>
      </c>
      <c r="Y210" s="14">
        <v>26</v>
      </c>
      <c r="Z210" s="14">
        <v>29</v>
      </c>
      <c r="AA210" s="14">
        <v>30</v>
      </c>
      <c r="AB210" s="14">
        <v>12</v>
      </c>
      <c r="AF210" s="41" t="s">
        <v>37</v>
      </c>
      <c r="AH210" s="57" t="s">
        <v>577</v>
      </c>
      <c r="AK210" s="42">
        <v>44747</v>
      </c>
    </row>
    <row r="211" spans="1:38" hidden="1" x14ac:dyDescent="0.25">
      <c r="A211" s="40" t="s">
        <v>26</v>
      </c>
      <c r="B211" s="40" t="s">
        <v>275</v>
      </c>
      <c r="C211" s="34">
        <v>2024</v>
      </c>
      <c r="D211" s="15">
        <v>1</v>
      </c>
      <c r="E211" s="30" t="s">
        <v>37</v>
      </c>
      <c r="F211" s="30" t="s">
        <v>37</v>
      </c>
      <c r="G211" s="14">
        <f t="shared" si="37"/>
        <v>8</v>
      </c>
      <c r="H211" s="19">
        <v>1</v>
      </c>
      <c r="I211" s="19">
        <v>7</v>
      </c>
      <c r="J211" s="24">
        <f t="shared" si="38"/>
        <v>0.125</v>
      </c>
      <c r="K211" s="14">
        <v>0.25</v>
      </c>
      <c r="L211" s="19">
        <f t="shared" si="39"/>
        <v>8</v>
      </c>
      <c r="M211" s="19">
        <f>AVERAGE(X211:Z211)</f>
        <v>18.666666666666668</v>
      </c>
      <c r="O211" s="19">
        <v>100</v>
      </c>
      <c r="P211" s="19">
        <v>0</v>
      </c>
      <c r="Q211" s="19">
        <v>25</v>
      </c>
      <c r="W211" s="14">
        <v>30</v>
      </c>
      <c r="X211" s="14">
        <v>17</v>
      </c>
      <c r="Y211" s="14">
        <v>18</v>
      </c>
      <c r="Z211" s="14">
        <v>21</v>
      </c>
    </row>
    <row r="212" spans="1:38" x14ac:dyDescent="0.25">
      <c r="A212" s="27" t="s">
        <v>26</v>
      </c>
      <c r="B212" s="27" t="s">
        <v>186</v>
      </c>
      <c r="C212" s="34">
        <v>2021</v>
      </c>
      <c r="D212" s="34">
        <v>0</v>
      </c>
      <c r="E212" s="30" t="s">
        <v>124</v>
      </c>
      <c r="F212" s="30">
        <v>5</v>
      </c>
      <c r="G212" s="30">
        <f t="shared" si="37"/>
        <v>25</v>
      </c>
      <c r="H212" s="27">
        <v>9</v>
      </c>
      <c r="I212" s="27">
        <v>16</v>
      </c>
      <c r="J212" s="24">
        <f t="shared" si="38"/>
        <v>0.36</v>
      </c>
      <c r="K212" s="30">
        <v>0.25</v>
      </c>
      <c r="L212" s="27">
        <f t="shared" si="39"/>
        <v>25</v>
      </c>
      <c r="M212" s="27">
        <f>AVERAGE(W212:Z212)</f>
        <v>18.25</v>
      </c>
      <c r="N212" s="27"/>
      <c r="O212" s="27">
        <v>100</v>
      </c>
      <c r="P212" s="27">
        <v>5</v>
      </c>
      <c r="Q212" s="27">
        <v>5</v>
      </c>
      <c r="R212" s="27">
        <f>15+2+5</f>
        <v>22</v>
      </c>
      <c r="S212" s="27" t="s">
        <v>187</v>
      </c>
      <c r="T212" s="30"/>
      <c r="U212" s="30"/>
      <c r="V212" s="30"/>
      <c r="W212" s="30">
        <v>10</v>
      </c>
      <c r="X212" s="30">
        <v>23</v>
      </c>
      <c r="Y212" s="30">
        <v>14</v>
      </c>
      <c r="Z212" s="30">
        <v>26</v>
      </c>
      <c r="AA212" s="30"/>
      <c r="AB212" s="30"/>
      <c r="AC212" s="2" t="s">
        <v>178</v>
      </c>
      <c r="AD212" s="30" t="s">
        <v>185</v>
      </c>
      <c r="AE212" s="30" t="s">
        <v>37</v>
      </c>
      <c r="AF212" s="30" t="s">
        <v>37</v>
      </c>
      <c r="AG212" s="30" t="s">
        <v>37</v>
      </c>
      <c r="AH212" s="30">
        <v>1</v>
      </c>
      <c r="AI212" s="30">
        <v>2</v>
      </c>
      <c r="AJ212" s="30">
        <v>0</v>
      </c>
      <c r="AK212" s="32">
        <v>44379</v>
      </c>
      <c r="AL212" s="30"/>
    </row>
    <row r="213" spans="1:38" x14ac:dyDescent="0.25">
      <c r="A213" s="40" t="s">
        <v>26</v>
      </c>
      <c r="B213" s="40" t="s">
        <v>186</v>
      </c>
      <c r="C213" s="15">
        <v>2022</v>
      </c>
      <c r="D213" s="15">
        <v>0</v>
      </c>
      <c r="E213" s="30" t="s">
        <v>124</v>
      </c>
      <c r="F213" s="30">
        <v>5</v>
      </c>
      <c r="G213" s="14">
        <f t="shared" si="37"/>
        <v>49</v>
      </c>
      <c r="H213" s="19">
        <v>14</v>
      </c>
      <c r="I213" s="19">
        <v>35</v>
      </c>
      <c r="J213" s="24">
        <f t="shared" si="38"/>
        <v>0.2857142857142857</v>
      </c>
      <c r="K213" s="14">
        <v>0.25</v>
      </c>
      <c r="L213" s="19">
        <f t="shared" si="39"/>
        <v>49</v>
      </c>
      <c r="M213" s="19">
        <f>AVERAGE(W213:Z213)</f>
        <v>28.25</v>
      </c>
      <c r="O213" s="19">
        <v>95</v>
      </c>
      <c r="P213" s="19">
        <v>40</v>
      </c>
      <c r="Q213" s="19">
        <v>5</v>
      </c>
      <c r="R213" s="19">
        <v>28</v>
      </c>
      <c r="S213" s="40" t="s">
        <v>521</v>
      </c>
      <c r="T213" s="41" t="s">
        <v>502</v>
      </c>
      <c r="U213" s="14">
        <v>1</v>
      </c>
      <c r="W213" s="14">
        <v>25</v>
      </c>
      <c r="X213" s="14">
        <v>27</v>
      </c>
      <c r="Y213" s="14">
        <v>30</v>
      </c>
      <c r="Z213" s="14">
        <v>31</v>
      </c>
      <c r="AF213" s="41" t="s">
        <v>37</v>
      </c>
      <c r="AK213" s="42">
        <v>44747</v>
      </c>
    </row>
    <row r="214" spans="1:38" x14ac:dyDescent="0.25">
      <c r="A214" s="40" t="s">
        <v>26</v>
      </c>
      <c r="B214" s="40" t="s">
        <v>186</v>
      </c>
      <c r="C214" s="34">
        <v>2023</v>
      </c>
      <c r="D214" s="15">
        <v>0</v>
      </c>
      <c r="E214" s="30" t="s">
        <v>124</v>
      </c>
      <c r="F214" s="30">
        <v>5</v>
      </c>
      <c r="G214" s="14">
        <f t="shared" si="37"/>
        <v>40</v>
      </c>
      <c r="H214" s="19">
        <v>11</v>
      </c>
      <c r="I214" s="19">
        <v>29</v>
      </c>
      <c r="J214" s="24">
        <f t="shared" si="38"/>
        <v>0.27500000000000002</v>
      </c>
      <c r="K214" s="14">
        <v>0.25</v>
      </c>
      <c r="L214" s="19">
        <f t="shared" si="39"/>
        <v>40</v>
      </c>
      <c r="M214" s="19">
        <f>AVERAGE(W214:Z214)</f>
        <v>23.25</v>
      </c>
      <c r="N214" s="19">
        <f>AVERAGE(AA214:AB214)</f>
        <v>27.5</v>
      </c>
      <c r="O214" s="19">
        <v>98</v>
      </c>
      <c r="P214" s="19">
        <v>6</v>
      </c>
      <c r="Q214" s="19">
        <v>10</v>
      </c>
      <c r="R214" s="59" t="s">
        <v>636</v>
      </c>
      <c r="S214" s="59" t="s">
        <v>637</v>
      </c>
      <c r="T214" s="57" t="s">
        <v>502</v>
      </c>
      <c r="U214" s="14">
        <v>2</v>
      </c>
      <c r="W214" s="14">
        <v>20</v>
      </c>
      <c r="X214" s="14">
        <v>24</v>
      </c>
      <c r="Y214" s="14">
        <v>27</v>
      </c>
      <c r="Z214" s="14">
        <v>22</v>
      </c>
      <c r="AA214" s="14">
        <v>38</v>
      </c>
      <c r="AB214" s="14">
        <v>17</v>
      </c>
      <c r="AF214" s="41" t="s">
        <v>37</v>
      </c>
      <c r="AH214" s="57" t="s">
        <v>577</v>
      </c>
      <c r="AK214" s="42">
        <v>44747</v>
      </c>
    </row>
    <row r="215" spans="1:38" x14ac:dyDescent="0.25">
      <c r="A215" s="40" t="s">
        <v>26</v>
      </c>
      <c r="B215" s="40" t="s">
        <v>186</v>
      </c>
      <c r="C215" s="34">
        <v>2024</v>
      </c>
      <c r="D215" s="15">
        <v>0</v>
      </c>
      <c r="E215" s="30" t="s">
        <v>124</v>
      </c>
      <c r="F215" s="30">
        <v>5</v>
      </c>
      <c r="G215" s="14">
        <f t="shared" si="37"/>
        <v>52</v>
      </c>
      <c r="H215" s="19">
        <v>4</v>
      </c>
      <c r="I215" s="19">
        <v>48</v>
      </c>
      <c r="J215" s="24">
        <f t="shared" si="38"/>
        <v>7.6923076923076927E-2</v>
      </c>
      <c r="K215" s="14">
        <v>0.25</v>
      </c>
      <c r="L215" s="19">
        <f t="shared" si="39"/>
        <v>52</v>
      </c>
      <c r="M215" s="19">
        <f>AVERAGE(X215:Z215)</f>
        <v>17</v>
      </c>
      <c r="O215" s="19">
        <v>95</v>
      </c>
      <c r="P215" s="19">
        <v>5</v>
      </c>
      <c r="Q215" s="19">
        <v>1</v>
      </c>
      <c r="W215" s="14">
        <v>13</v>
      </c>
      <c r="X215" s="14">
        <v>18</v>
      </c>
      <c r="Y215" s="14">
        <v>15</v>
      </c>
      <c r="Z215" s="14">
        <v>18</v>
      </c>
    </row>
    <row r="216" spans="1:38" x14ac:dyDescent="0.25">
      <c r="A216" s="27" t="s">
        <v>26</v>
      </c>
      <c r="B216" s="27" t="s">
        <v>189</v>
      </c>
      <c r="C216" s="34">
        <v>2021</v>
      </c>
      <c r="D216" s="34">
        <v>0</v>
      </c>
      <c r="E216" s="30" t="s">
        <v>124</v>
      </c>
      <c r="F216" s="30">
        <v>15</v>
      </c>
      <c r="G216" s="30">
        <f t="shared" si="37"/>
        <v>0</v>
      </c>
      <c r="H216" s="27">
        <v>0</v>
      </c>
      <c r="I216" s="27">
        <v>0</v>
      </c>
      <c r="J216" s="24" t="s">
        <v>37</v>
      </c>
      <c r="K216" s="30">
        <v>0.25</v>
      </c>
      <c r="L216" s="27">
        <f t="shared" si="39"/>
        <v>0</v>
      </c>
      <c r="M216" s="27">
        <f>AVERAGE(W216:Z216)</f>
        <v>37.75</v>
      </c>
      <c r="N216" s="27"/>
      <c r="O216" s="27">
        <v>100</v>
      </c>
      <c r="P216" s="27">
        <v>2</v>
      </c>
      <c r="Q216" s="27">
        <v>3</v>
      </c>
      <c r="R216" s="27">
        <f>12+2+6</f>
        <v>20</v>
      </c>
      <c r="S216" s="27" t="s">
        <v>190</v>
      </c>
      <c r="T216" s="30"/>
      <c r="U216" s="30"/>
      <c r="V216" s="30"/>
      <c r="W216" s="30">
        <v>42</v>
      </c>
      <c r="X216" s="30">
        <v>36</v>
      </c>
      <c r="Y216" s="30">
        <v>35</v>
      </c>
      <c r="Z216" s="30">
        <v>38</v>
      </c>
      <c r="AA216" s="30"/>
      <c r="AB216" s="30"/>
      <c r="AC216" s="2" t="s">
        <v>178</v>
      </c>
      <c r="AD216" s="30" t="s">
        <v>188</v>
      </c>
      <c r="AE216" s="30" t="s">
        <v>37</v>
      </c>
      <c r="AF216" s="30" t="s">
        <v>37</v>
      </c>
      <c r="AG216" s="30" t="s">
        <v>37</v>
      </c>
      <c r="AH216" s="30">
        <v>1</v>
      </c>
      <c r="AI216" s="30">
        <v>2</v>
      </c>
      <c r="AJ216" s="30">
        <v>0</v>
      </c>
      <c r="AK216" s="32">
        <v>44379</v>
      </c>
      <c r="AL216" s="30"/>
    </row>
    <row r="217" spans="1:38" x14ac:dyDescent="0.25">
      <c r="A217" s="40" t="s">
        <v>26</v>
      </c>
      <c r="B217" s="40" t="s">
        <v>189</v>
      </c>
      <c r="C217" s="15">
        <v>2022</v>
      </c>
      <c r="D217" s="15">
        <v>0</v>
      </c>
      <c r="E217" s="30" t="s">
        <v>124</v>
      </c>
      <c r="F217" s="30">
        <v>15</v>
      </c>
      <c r="G217" s="14">
        <f t="shared" si="37"/>
        <v>0</v>
      </c>
      <c r="H217" s="19">
        <v>0</v>
      </c>
      <c r="I217" s="19">
        <v>0</v>
      </c>
      <c r="J217" s="24" t="s">
        <v>37</v>
      </c>
      <c r="K217" s="14">
        <v>0.25</v>
      </c>
      <c r="L217" s="19">
        <f t="shared" si="39"/>
        <v>0</v>
      </c>
      <c r="M217" s="19">
        <f>AVERAGE(W217:Z217)</f>
        <v>37.75</v>
      </c>
      <c r="O217" s="19">
        <v>100</v>
      </c>
      <c r="P217" s="19">
        <v>1</v>
      </c>
      <c r="Q217" s="19">
        <v>5</v>
      </c>
      <c r="R217" s="19">
        <v>43</v>
      </c>
      <c r="S217" s="40" t="s">
        <v>508</v>
      </c>
      <c r="T217" s="41" t="s">
        <v>502</v>
      </c>
      <c r="U217" s="14">
        <v>1</v>
      </c>
      <c r="W217" s="14">
        <v>31</v>
      </c>
      <c r="X217" s="14">
        <v>40</v>
      </c>
      <c r="Y217" s="14">
        <v>32</v>
      </c>
      <c r="Z217" s="14">
        <v>48</v>
      </c>
      <c r="AF217" s="41" t="s">
        <v>37</v>
      </c>
      <c r="AK217" s="42">
        <v>44747</v>
      </c>
    </row>
    <row r="218" spans="1:38" x14ac:dyDescent="0.25">
      <c r="A218" s="40" t="s">
        <v>26</v>
      </c>
      <c r="B218" s="40" t="s">
        <v>189</v>
      </c>
      <c r="C218" s="34">
        <v>2023</v>
      </c>
      <c r="D218" s="15">
        <v>0</v>
      </c>
      <c r="E218" s="30" t="s">
        <v>124</v>
      </c>
      <c r="F218" s="30">
        <v>15</v>
      </c>
      <c r="G218" s="14">
        <f t="shared" si="37"/>
        <v>0</v>
      </c>
      <c r="H218" s="19">
        <v>0</v>
      </c>
      <c r="I218" s="19">
        <v>0</v>
      </c>
      <c r="J218" s="24" t="s">
        <v>37</v>
      </c>
      <c r="K218" s="14">
        <v>0.25</v>
      </c>
      <c r="L218" s="19">
        <f t="shared" si="39"/>
        <v>0</v>
      </c>
      <c r="M218" s="19">
        <f>AVERAGE(W218:Z218)</f>
        <v>30</v>
      </c>
      <c r="N218" s="19">
        <f>AVERAGE(AA218:AB218)</f>
        <v>26.25</v>
      </c>
      <c r="O218" s="19">
        <v>100</v>
      </c>
      <c r="P218" s="59" t="s">
        <v>37</v>
      </c>
      <c r="Q218" s="59" t="s">
        <v>37</v>
      </c>
      <c r="R218" s="59" t="s">
        <v>608</v>
      </c>
      <c r="S218" s="59" t="s">
        <v>508</v>
      </c>
      <c r="T218" s="57" t="s">
        <v>502</v>
      </c>
      <c r="U218" s="14">
        <v>25</v>
      </c>
      <c r="W218" s="14">
        <v>38</v>
      </c>
      <c r="X218" s="14">
        <v>32</v>
      </c>
      <c r="Y218" s="14">
        <v>28</v>
      </c>
      <c r="Z218" s="14">
        <v>22</v>
      </c>
      <c r="AA218" s="14">
        <v>31</v>
      </c>
      <c r="AB218" s="14">
        <v>21.5</v>
      </c>
      <c r="AF218" s="41" t="s">
        <v>37</v>
      </c>
      <c r="AH218" s="57" t="s">
        <v>577</v>
      </c>
      <c r="AK218" s="42">
        <v>44747</v>
      </c>
    </row>
    <row r="219" spans="1:38" x14ac:dyDescent="0.25">
      <c r="A219" s="40" t="s">
        <v>26</v>
      </c>
      <c r="B219" s="40" t="s">
        <v>189</v>
      </c>
      <c r="C219" s="34">
        <v>2024</v>
      </c>
      <c r="D219" s="15">
        <v>0</v>
      </c>
      <c r="E219" s="30" t="s">
        <v>124</v>
      </c>
      <c r="F219" s="30">
        <v>15</v>
      </c>
      <c r="G219" s="14">
        <f t="shared" si="37"/>
        <v>0</v>
      </c>
      <c r="H219" s="19">
        <v>0</v>
      </c>
      <c r="I219" s="19">
        <v>0</v>
      </c>
      <c r="J219" s="24" t="s">
        <v>37</v>
      </c>
      <c r="K219" s="14">
        <v>0.25</v>
      </c>
      <c r="L219" s="19">
        <f t="shared" si="39"/>
        <v>0</v>
      </c>
      <c r="M219" s="19">
        <f>AVERAGE(X219:Z219)</f>
        <v>28</v>
      </c>
      <c r="O219" s="19">
        <v>98</v>
      </c>
      <c r="P219" s="19">
        <v>1</v>
      </c>
      <c r="Q219" s="19">
        <v>2</v>
      </c>
      <c r="W219" s="14">
        <v>19</v>
      </c>
      <c r="X219" s="14">
        <v>25</v>
      </c>
      <c r="Y219" s="14">
        <v>33</v>
      </c>
      <c r="Z219" s="14">
        <v>26</v>
      </c>
    </row>
    <row r="220" spans="1:38" x14ac:dyDescent="0.25">
      <c r="A220" s="27" t="s">
        <v>26</v>
      </c>
      <c r="B220" s="27" t="s">
        <v>192</v>
      </c>
      <c r="C220" s="34">
        <v>2021</v>
      </c>
      <c r="D220" s="34">
        <v>0</v>
      </c>
      <c r="E220" s="30" t="s">
        <v>124</v>
      </c>
      <c r="F220" s="30">
        <v>25</v>
      </c>
      <c r="G220" s="30">
        <f t="shared" si="37"/>
        <v>0</v>
      </c>
      <c r="H220" s="27">
        <v>0</v>
      </c>
      <c r="I220" s="27">
        <v>0</v>
      </c>
      <c r="J220" s="24" t="s">
        <v>37</v>
      </c>
      <c r="K220" s="30">
        <v>0.25</v>
      </c>
      <c r="L220" s="27">
        <f t="shared" si="39"/>
        <v>0</v>
      </c>
      <c r="M220" s="27">
        <f>AVERAGE(W220:Z220)</f>
        <v>27</v>
      </c>
      <c r="N220" s="27"/>
      <c r="O220" s="27">
        <v>90</v>
      </c>
      <c r="P220" s="27">
        <v>0</v>
      </c>
      <c r="Q220" s="27">
        <v>10</v>
      </c>
      <c r="R220" s="27">
        <v>75</v>
      </c>
      <c r="S220" s="27" t="s">
        <v>193</v>
      </c>
      <c r="T220" s="30"/>
      <c r="U220" s="30"/>
      <c r="V220" s="30" t="s">
        <v>194</v>
      </c>
      <c r="W220" s="30">
        <v>22</v>
      </c>
      <c r="X220" s="30">
        <v>29</v>
      </c>
      <c r="Y220" s="30">
        <v>33</v>
      </c>
      <c r="Z220" s="30">
        <v>24</v>
      </c>
      <c r="AA220" s="30"/>
      <c r="AB220" s="30"/>
      <c r="AC220" s="2" t="s">
        <v>178</v>
      </c>
      <c r="AD220" s="30" t="s">
        <v>191</v>
      </c>
      <c r="AE220" s="30" t="s">
        <v>37</v>
      </c>
      <c r="AF220" s="30" t="s">
        <v>37</v>
      </c>
      <c r="AG220" s="30" t="s">
        <v>37</v>
      </c>
      <c r="AH220" s="30">
        <v>1</v>
      </c>
      <c r="AI220" s="30">
        <v>2</v>
      </c>
      <c r="AJ220" s="30">
        <v>0</v>
      </c>
      <c r="AK220" s="32">
        <v>44379</v>
      </c>
      <c r="AL220" s="30"/>
    </row>
    <row r="221" spans="1:38" x14ac:dyDescent="0.25">
      <c r="A221" s="40" t="s">
        <v>26</v>
      </c>
      <c r="B221" s="40" t="s">
        <v>192</v>
      </c>
      <c r="C221" s="15">
        <v>2022</v>
      </c>
      <c r="D221" s="15">
        <v>0</v>
      </c>
      <c r="E221" s="30" t="s">
        <v>124</v>
      </c>
      <c r="F221" s="30">
        <v>25</v>
      </c>
      <c r="G221" s="14">
        <f t="shared" si="37"/>
        <v>0</v>
      </c>
      <c r="H221" s="19">
        <v>0</v>
      </c>
      <c r="I221" s="19">
        <v>0</v>
      </c>
      <c r="J221" s="24" t="s">
        <v>37</v>
      </c>
      <c r="K221" s="14">
        <v>0.25</v>
      </c>
      <c r="L221" s="19">
        <f t="shared" si="39"/>
        <v>0</v>
      </c>
      <c r="M221" s="19">
        <f>AVERAGE(W221:Z221)</f>
        <v>31</v>
      </c>
      <c r="O221" s="19">
        <v>99</v>
      </c>
      <c r="P221" s="19">
        <v>0</v>
      </c>
      <c r="Q221" s="19">
        <v>8</v>
      </c>
      <c r="R221" s="19">
        <v>47</v>
      </c>
      <c r="S221" s="40" t="s">
        <v>513</v>
      </c>
      <c r="T221" s="41" t="s">
        <v>514</v>
      </c>
      <c r="U221" s="14">
        <v>6</v>
      </c>
      <c r="W221" s="14">
        <v>27</v>
      </c>
      <c r="X221" s="14">
        <v>30</v>
      </c>
      <c r="Y221" s="14">
        <v>35</v>
      </c>
      <c r="Z221" s="14">
        <v>32</v>
      </c>
      <c r="AF221" s="41" t="s">
        <v>37</v>
      </c>
      <c r="AH221" s="41"/>
      <c r="AK221" s="42">
        <v>44747</v>
      </c>
    </row>
    <row r="222" spans="1:38" x14ac:dyDescent="0.25">
      <c r="A222" s="40" t="s">
        <v>26</v>
      </c>
      <c r="B222" s="40" t="s">
        <v>192</v>
      </c>
      <c r="C222" s="34">
        <v>2023</v>
      </c>
      <c r="D222" s="15">
        <v>0</v>
      </c>
      <c r="E222" s="30" t="s">
        <v>124</v>
      </c>
      <c r="F222" s="30">
        <v>25</v>
      </c>
      <c r="G222" s="14">
        <f t="shared" si="37"/>
        <v>0</v>
      </c>
      <c r="H222" s="19">
        <v>0</v>
      </c>
      <c r="I222" s="19">
        <v>0</v>
      </c>
      <c r="J222" s="24" t="s">
        <v>37</v>
      </c>
      <c r="K222" s="14">
        <v>0.25</v>
      </c>
      <c r="L222" s="19">
        <f t="shared" si="39"/>
        <v>0</v>
      </c>
      <c r="M222" s="19">
        <f>AVERAGE(W222:Z222)</f>
        <v>29.5</v>
      </c>
      <c r="N222" s="19">
        <f>AVERAGE(AA222:AB222)</f>
        <v>11.5</v>
      </c>
      <c r="O222" s="19">
        <v>90</v>
      </c>
      <c r="P222" s="19">
        <v>0</v>
      </c>
      <c r="Q222" s="19">
        <v>25</v>
      </c>
      <c r="R222" s="19">
        <v>75</v>
      </c>
      <c r="S222" s="59" t="s">
        <v>606</v>
      </c>
      <c r="T222" s="57" t="s">
        <v>607</v>
      </c>
      <c r="U222" s="14">
        <v>20</v>
      </c>
      <c r="W222" s="14">
        <v>29</v>
      </c>
      <c r="X222" s="14">
        <v>37</v>
      </c>
      <c r="Y222" s="14">
        <v>36</v>
      </c>
      <c r="Z222" s="14">
        <v>16</v>
      </c>
      <c r="AA222" s="14">
        <v>11</v>
      </c>
      <c r="AB222" s="14">
        <v>12</v>
      </c>
      <c r="AF222" s="41" t="s">
        <v>37</v>
      </c>
      <c r="AH222" s="57" t="s">
        <v>520</v>
      </c>
      <c r="AK222" s="42">
        <v>44747</v>
      </c>
    </row>
    <row r="223" spans="1:38" x14ac:dyDescent="0.25">
      <c r="A223" s="40" t="s">
        <v>26</v>
      </c>
      <c r="B223" s="40" t="s">
        <v>192</v>
      </c>
      <c r="C223" s="34">
        <v>2024</v>
      </c>
      <c r="D223" s="15">
        <v>0</v>
      </c>
      <c r="E223" s="30" t="s">
        <v>124</v>
      </c>
      <c r="F223" s="30">
        <v>25</v>
      </c>
      <c r="G223" s="14">
        <f t="shared" si="37"/>
        <v>0</v>
      </c>
      <c r="H223" s="19">
        <v>0</v>
      </c>
      <c r="I223" s="19">
        <v>0</v>
      </c>
      <c r="J223" s="24" t="s">
        <v>37</v>
      </c>
      <c r="K223" s="14">
        <v>0.25</v>
      </c>
      <c r="L223" s="19">
        <f t="shared" si="39"/>
        <v>0</v>
      </c>
      <c r="M223" s="19">
        <f>AVERAGE(X223:Z223)</f>
        <v>22</v>
      </c>
      <c r="O223" s="19">
        <v>96</v>
      </c>
      <c r="P223" s="19">
        <v>1</v>
      </c>
      <c r="Q223" s="19">
        <v>4</v>
      </c>
      <c r="W223" s="14">
        <v>31</v>
      </c>
      <c r="X223" s="14">
        <v>30</v>
      </c>
      <c r="Y223" s="14">
        <v>21</v>
      </c>
      <c r="Z223" s="14">
        <v>15</v>
      </c>
    </row>
    <row r="224" spans="1:38" x14ac:dyDescent="0.25">
      <c r="A224" s="27" t="s">
        <v>26</v>
      </c>
      <c r="B224" s="27" t="s">
        <v>196</v>
      </c>
      <c r="C224" s="34">
        <v>2021</v>
      </c>
      <c r="D224" s="34">
        <v>0</v>
      </c>
      <c r="E224" s="30" t="s">
        <v>124</v>
      </c>
      <c r="F224" s="30">
        <v>35</v>
      </c>
      <c r="G224" s="30">
        <f t="shared" si="37"/>
        <v>0</v>
      </c>
      <c r="H224" s="27">
        <v>0</v>
      </c>
      <c r="I224" s="27">
        <v>0</v>
      </c>
      <c r="J224" s="24" t="s">
        <v>37</v>
      </c>
      <c r="K224" s="30">
        <v>0.25</v>
      </c>
      <c r="L224" s="27">
        <f t="shared" si="39"/>
        <v>0</v>
      </c>
      <c r="M224" s="27">
        <f>AVERAGE(W224:Z224)</f>
        <v>12.25</v>
      </c>
      <c r="N224" s="27"/>
      <c r="O224" s="27">
        <v>50</v>
      </c>
      <c r="P224" s="27">
        <v>0</v>
      </c>
      <c r="Q224" s="27">
        <v>20</v>
      </c>
      <c r="R224" s="27">
        <v>15</v>
      </c>
      <c r="S224" s="27" t="s">
        <v>197</v>
      </c>
      <c r="T224" s="30"/>
      <c r="U224" s="30"/>
      <c r="V224" s="30" t="s">
        <v>194</v>
      </c>
      <c r="W224" s="30">
        <v>17</v>
      </c>
      <c r="X224" s="30">
        <v>13</v>
      </c>
      <c r="Y224" s="30">
        <v>10</v>
      </c>
      <c r="Z224" s="30">
        <v>9</v>
      </c>
      <c r="AA224" s="30"/>
      <c r="AB224" s="30"/>
      <c r="AC224" s="2" t="s">
        <v>178</v>
      </c>
      <c r="AD224" s="30" t="s">
        <v>195</v>
      </c>
      <c r="AE224" s="30" t="s">
        <v>37</v>
      </c>
      <c r="AF224" s="30" t="s">
        <v>37</v>
      </c>
      <c r="AG224" s="30" t="s">
        <v>37</v>
      </c>
      <c r="AH224" s="30">
        <v>1</v>
      </c>
      <c r="AI224" s="30">
        <v>2</v>
      </c>
      <c r="AJ224" s="30">
        <v>0</v>
      </c>
      <c r="AK224" s="32">
        <v>44379</v>
      </c>
      <c r="AL224" s="30"/>
    </row>
    <row r="225" spans="1:38" x14ac:dyDescent="0.25">
      <c r="A225" s="40" t="s">
        <v>26</v>
      </c>
      <c r="B225" s="40" t="s">
        <v>196</v>
      </c>
      <c r="C225" s="15">
        <v>2022</v>
      </c>
      <c r="D225" s="15">
        <v>0</v>
      </c>
      <c r="E225" s="30" t="s">
        <v>124</v>
      </c>
      <c r="F225" s="30">
        <v>35</v>
      </c>
      <c r="G225" s="14">
        <f t="shared" si="37"/>
        <v>0</v>
      </c>
      <c r="H225" s="19">
        <v>0</v>
      </c>
      <c r="I225" s="19">
        <v>0</v>
      </c>
      <c r="J225" s="24" t="s">
        <v>37</v>
      </c>
      <c r="K225" s="14">
        <v>0.25</v>
      </c>
      <c r="L225" s="19">
        <f t="shared" si="39"/>
        <v>0</v>
      </c>
      <c r="M225" s="19">
        <f>AVERAGE(W225:Z225)</f>
        <v>8.25</v>
      </c>
      <c r="O225" s="19">
        <v>30</v>
      </c>
      <c r="P225" s="19">
        <v>2</v>
      </c>
      <c r="Q225" s="19">
        <v>80</v>
      </c>
      <c r="R225" s="19">
        <v>5</v>
      </c>
      <c r="S225" s="40" t="s">
        <v>518</v>
      </c>
      <c r="T225" s="41" t="s">
        <v>519</v>
      </c>
      <c r="U225" s="14">
        <v>2</v>
      </c>
      <c r="W225" s="14">
        <v>11</v>
      </c>
      <c r="X225" s="14">
        <v>6</v>
      </c>
      <c r="Y225" s="14">
        <v>6</v>
      </c>
      <c r="Z225" s="14">
        <v>10</v>
      </c>
      <c r="AF225" s="41" t="s">
        <v>37</v>
      </c>
      <c r="AH225" s="41" t="s">
        <v>520</v>
      </c>
      <c r="AK225" s="42">
        <v>44747</v>
      </c>
    </row>
    <row r="226" spans="1:38" x14ac:dyDescent="0.25">
      <c r="A226" s="40" t="s">
        <v>26</v>
      </c>
      <c r="B226" s="40" t="s">
        <v>196</v>
      </c>
      <c r="C226" s="34">
        <v>2023</v>
      </c>
      <c r="D226" s="15">
        <v>0</v>
      </c>
      <c r="E226" s="30" t="s">
        <v>124</v>
      </c>
      <c r="F226" s="30">
        <v>35</v>
      </c>
      <c r="G226" s="14">
        <f t="shared" si="37"/>
        <v>0</v>
      </c>
      <c r="H226" s="19">
        <v>0</v>
      </c>
      <c r="I226" s="19">
        <v>0</v>
      </c>
      <c r="J226" s="24" t="s">
        <v>37</v>
      </c>
      <c r="K226" s="14">
        <v>0.25</v>
      </c>
      <c r="L226" s="19">
        <f t="shared" si="39"/>
        <v>0</v>
      </c>
      <c r="M226" s="19">
        <f>AVERAGE(W226:Z226)</f>
        <v>7.25</v>
      </c>
      <c r="N226" s="19">
        <f>AVERAGE(AA226:AB226)</f>
        <v>13.5</v>
      </c>
      <c r="O226" s="19">
        <v>20</v>
      </c>
      <c r="P226" s="19">
        <v>15</v>
      </c>
      <c r="Q226" s="19">
        <v>65</v>
      </c>
      <c r="R226" s="19">
        <v>0</v>
      </c>
      <c r="S226" s="59" t="s">
        <v>37</v>
      </c>
      <c r="T226" s="57" t="s">
        <v>519</v>
      </c>
      <c r="U226" s="14">
        <v>3</v>
      </c>
      <c r="V226" s="57" t="s">
        <v>610</v>
      </c>
      <c r="W226" s="14">
        <v>6</v>
      </c>
      <c r="X226" s="14">
        <v>8</v>
      </c>
      <c r="Y226" s="14">
        <v>8</v>
      </c>
      <c r="Z226" s="14">
        <v>7</v>
      </c>
      <c r="AA226" s="14">
        <v>12</v>
      </c>
      <c r="AB226" s="14">
        <v>15</v>
      </c>
      <c r="AF226" s="41" t="s">
        <v>37</v>
      </c>
      <c r="AH226" s="41" t="s">
        <v>520</v>
      </c>
      <c r="AK226" s="42">
        <v>44747</v>
      </c>
    </row>
    <row r="227" spans="1:38" x14ac:dyDescent="0.25">
      <c r="A227" s="40" t="s">
        <v>26</v>
      </c>
      <c r="B227" s="40" t="s">
        <v>196</v>
      </c>
      <c r="C227" s="34">
        <v>2024</v>
      </c>
      <c r="D227" s="15">
        <v>0</v>
      </c>
      <c r="E227" s="30" t="s">
        <v>124</v>
      </c>
      <c r="F227" s="30">
        <v>35</v>
      </c>
      <c r="G227" s="14">
        <f t="shared" si="37"/>
        <v>0</v>
      </c>
      <c r="H227" s="19">
        <v>0</v>
      </c>
      <c r="I227" s="19">
        <v>0</v>
      </c>
      <c r="J227" s="24" t="s">
        <v>37</v>
      </c>
      <c r="K227" s="14">
        <v>0.25</v>
      </c>
      <c r="L227" s="19">
        <f t="shared" si="39"/>
        <v>0</v>
      </c>
      <c r="M227" s="19">
        <f>AVERAGE(X227:Z227)</f>
        <v>5</v>
      </c>
      <c r="O227" s="19">
        <v>38</v>
      </c>
      <c r="P227" s="19">
        <v>15</v>
      </c>
      <c r="Q227" s="19">
        <v>50</v>
      </c>
      <c r="W227" s="14">
        <v>2</v>
      </c>
      <c r="X227" s="14">
        <v>4</v>
      </c>
      <c r="Y227" s="14">
        <v>5</v>
      </c>
      <c r="Z227" s="14">
        <v>6</v>
      </c>
    </row>
    <row r="228" spans="1:38" x14ac:dyDescent="0.25">
      <c r="A228" s="27" t="s">
        <v>26</v>
      </c>
      <c r="B228" s="27" t="s">
        <v>199</v>
      </c>
      <c r="C228" s="34">
        <v>2021</v>
      </c>
      <c r="D228" s="34">
        <v>0</v>
      </c>
      <c r="E228" s="30" t="s">
        <v>124</v>
      </c>
      <c r="F228" s="30">
        <v>45</v>
      </c>
      <c r="G228" s="30">
        <f t="shared" si="37"/>
        <v>0</v>
      </c>
      <c r="H228" s="27">
        <v>0</v>
      </c>
      <c r="I228" s="27">
        <v>0</v>
      </c>
      <c r="J228" s="24" t="s">
        <v>37</v>
      </c>
      <c r="K228" s="30">
        <v>0.25</v>
      </c>
      <c r="L228" s="27">
        <f t="shared" si="39"/>
        <v>0</v>
      </c>
      <c r="M228" s="27">
        <f>AVERAGE(W228:Z228)</f>
        <v>5.5</v>
      </c>
      <c r="N228" s="27"/>
      <c r="O228" s="27">
        <v>30</v>
      </c>
      <c r="P228" s="27">
        <v>60</v>
      </c>
      <c r="Q228" s="27">
        <v>10</v>
      </c>
      <c r="R228" s="27">
        <v>4</v>
      </c>
      <c r="S228" s="27" t="s">
        <v>197</v>
      </c>
      <c r="T228" s="30"/>
      <c r="U228" s="30"/>
      <c r="V228" s="30" t="s">
        <v>194</v>
      </c>
      <c r="W228" s="30">
        <v>5</v>
      </c>
      <c r="X228" s="30">
        <v>6</v>
      </c>
      <c r="Y228" s="30">
        <v>7</v>
      </c>
      <c r="Z228" s="30">
        <v>4</v>
      </c>
      <c r="AA228" s="30"/>
      <c r="AB228" s="30"/>
      <c r="AD228" s="30" t="s">
        <v>198</v>
      </c>
      <c r="AE228" s="30" t="s">
        <v>37</v>
      </c>
      <c r="AF228" s="30" t="s">
        <v>37</v>
      </c>
      <c r="AG228" s="30" t="s">
        <v>37</v>
      </c>
      <c r="AH228" s="30">
        <v>1</v>
      </c>
      <c r="AI228" s="30">
        <v>2</v>
      </c>
      <c r="AJ228" s="30">
        <v>0</v>
      </c>
      <c r="AK228" s="32">
        <v>44379</v>
      </c>
      <c r="AL228" s="30"/>
    </row>
    <row r="229" spans="1:38" x14ac:dyDescent="0.25">
      <c r="A229" s="40" t="s">
        <v>26</v>
      </c>
      <c r="B229" s="40" t="s">
        <v>199</v>
      </c>
      <c r="C229" s="15">
        <v>2022</v>
      </c>
      <c r="D229" s="15">
        <v>0</v>
      </c>
      <c r="E229" s="30" t="s">
        <v>124</v>
      </c>
      <c r="F229" s="30">
        <v>45</v>
      </c>
      <c r="G229" s="14">
        <f t="shared" si="37"/>
        <v>0</v>
      </c>
      <c r="H229" s="19">
        <v>0</v>
      </c>
      <c r="I229" s="19">
        <v>0</v>
      </c>
      <c r="J229" s="24" t="s">
        <v>37</v>
      </c>
      <c r="K229" s="14">
        <v>0.25</v>
      </c>
      <c r="L229" s="19">
        <f t="shared" si="39"/>
        <v>0</v>
      </c>
      <c r="M229" s="19">
        <f>AVERAGE(W229:Z229)</f>
        <v>8</v>
      </c>
      <c r="O229" s="19">
        <v>40</v>
      </c>
      <c r="P229" s="19">
        <v>55</v>
      </c>
      <c r="Q229" s="19">
        <v>15</v>
      </c>
      <c r="R229" s="19">
        <v>7</v>
      </c>
      <c r="S229" s="40" t="s">
        <v>518</v>
      </c>
      <c r="T229" s="41" t="s">
        <v>519</v>
      </c>
      <c r="U229" s="14">
        <v>4</v>
      </c>
      <c r="W229" s="14">
        <v>14</v>
      </c>
      <c r="X229" s="14">
        <v>5</v>
      </c>
      <c r="Y229" s="14">
        <v>5</v>
      </c>
      <c r="Z229" s="14">
        <v>8</v>
      </c>
      <c r="AF229" s="41" t="s">
        <v>37</v>
      </c>
      <c r="AH229" s="41" t="s">
        <v>520</v>
      </c>
      <c r="AK229" s="42">
        <v>44747</v>
      </c>
    </row>
    <row r="230" spans="1:38" x14ac:dyDescent="0.25">
      <c r="A230" s="40" t="s">
        <v>26</v>
      </c>
      <c r="B230" s="40" t="s">
        <v>199</v>
      </c>
      <c r="C230" s="34">
        <v>2023</v>
      </c>
      <c r="D230" s="15">
        <v>0</v>
      </c>
      <c r="E230" s="30" t="s">
        <v>124</v>
      </c>
      <c r="F230" s="30">
        <v>45</v>
      </c>
      <c r="G230" s="14">
        <f t="shared" si="37"/>
        <v>0</v>
      </c>
      <c r="H230" s="19">
        <v>0</v>
      </c>
      <c r="I230" s="19">
        <v>0</v>
      </c>
      <c r="J230" s="24" t="s">
        <v>37</v>
      </c>
      <c r="K230" s="14">
        <v>0.25</v>
      </c>
      <c r="L230" s="19">
        <f t="shared" si="39"/>
        <v>0</v>
      </c>
      <c r="M230" s="19">
        <f>AVERAGE(W230:Z230)</f>
        <v>3.5</v>
      </c>
      <c r="N230" s="19">
        <f>AVERAGE(AA230:AB230)</f>
        <v>4.75</v>
      </c>
      <c r="O230" s="19">
        <v>40</v>
      </c>
      <c r="P230" s="19">
        <v>75</v>
      </c>
      <c r="Q230" s="19">
        <v>20</v>
      </c>
      <c r="R230" s="19">
        <v>4</v>
      </c>
      <c r="S230" s="59" t="s">
        <v>518</v>
      </c>
      <c r="T230" s="57" t="s">
        <v>519</v>
      </c>
      <c r="U230" s="14">
        <v>8</v>
      </c>
      <c r="V230" s="57" t="s">
        <v>609</v>
      </c>
      <c r="W230" s="14">
        <v>5</v>
      </c>
      <c r="X230" s="14">
        <v>0</v>
      </c>
      <c r="Y230" s="14">
        <v>0</v>
      </c>
      <c r="Z230" s="14">
        <v>9</v>
      </c>
      <c r="AA230" s="14">
        <v>4</v>
      </c>
      <c r="AB230" s="14">
        <v>5.5</v>
      </c>
      <c r="AF230" s="41" t="s">
        <v>37</v>
      </c>
      <c r="AH230" s="41" t="s">
        <v>520</v>
      </c>
      <c r="AK230" s="42">
        <v>44747</v>
      </c>
    </row>
    <row r="231" spans="1:38" x14ac:dyDescent="0.25">
      <c r="A231" s="40" t="s">
        <v>26</v>
      </c>
      <c r="B231" s="40" t="s">
        <v>199</v>
      </c>
      <c r="C231" s="34">
        <v>2024</v>
      </c>
      <c r="D231" s="15">
        <v>0</v>
      </c>
      <c r="E231" s="30" t="s">
        <v>124</v>
      </c>
      <c r="F231" s="30">
        <v>45</v>
      </c>
      <c r="G231" s="14">
        <f t="shared" si="37"/>
        <v>0</v>
      </c>
      <c r="H231" s="19">
        <v>0</v>
      </c>
      <c r="I231" s="19">
        <v>0</v>
      </c>
      <c r="J231" s="24" t="s">
        <v>37</v>
      </c>
      <c r="K231" s="14">
        <v>0.25</v>
      </c>
      <c r="L231" s="19">
        <f t="shared" si="39"/>
        <v>0</v>
      </c>
      <c r="M231" s="19">
        <f>AVERAGE(X231:Z231)</f>
        <v>4.666666666666667</v>
      </c>
      <c r="O231" s="19">
        <v>50</v>
      </c>
      <c r="P231" s="19">
        <v>60</v>
      </c>
      <c r="Q231" s="19">
        <v>20</v>
      </c>
      <c r="W231" s="14">
        <v>4</v>
      </c>
      <c r="X231" s="14">
        <v>3</v>
      </c>
      <c r="Y231" s="14">
        <v>7</v>
      </c>
      <c r="Z231" s="14">
        <v>4</v>
      </c>
    </row>
    <row r="232" spans="1:38" x14ac:dyDescent="0.25">
      <c r="A232" s="27" t="s">
        <v>26</v>
      </c>
      <c r="B232" s="27" t="s">
        <v>201</v>
      </c>
      <c r="C232" s="34">
        <v>2021</v>
      </c>
      <c r="D232" s="34">
        <v>0</v>
      </c>
      <c r="E232" s="30" t="s">
        <v>138</v>
      </c>
      <c r="F232" s="30">
        <v>5</v>
      </c>
      <c r="G232" s="30">
        <f t="shared" si="37"/>
        <v>6</v>
      </c>
      <c r="H232" s="27">
        <v>1</v>
      </c>
      <c r="I232" s="27">
        <v>5</v>
      </c>
      <c r="J232" s="24">
        <f>H232/G232</f>
        <v>0.16666666666666666</v>
      </c>
      <c r="K232" s="30">
        <v>0.25</v>
      </c>
      <c r="L232" s="27">
        <f t="shared" si="39"/>
        <v>6</v>
      </c>
      <c r="M232" s="27">
        <f>AVERAGE(W232:Z232)</f>
        <v>17.5</v>
      </c>
      <c r="N232" s="27"/>
      <c r="O232" s="27">
        <v>75</v>
      </c>
      <c r="P232" s="27">
        <v>50</v>
      </c>
      <c r="Q232" s="27">
        <v>10</v>
      </c>
      <c r="R232" s="27">
        <v>10</v>
      </c>
      <c r="S232" s="27" t="s">
        <v>202</v>
      </c>
      <c r="T232" s="30"/>
      <c r="U232" s="30"/>
      <c r="V232" s="30"/>
      <c r="W232" s="30">
        <v>18</v>
      </c>
      <c r="X232" s="30">
        <v>19</v>
      </c>
      <c r="Y232" s="30">
        <v>16</v>
      </c>
      <c r="Z232" s="30">
        <v>17</v>
      </c>
      <c r="AA232" s="30"/>
      <c r="AB232" s="30"/>
      <c r="AD232" s="30" t="s">
        <v>200</v>
      </c>
      <c r="AE232" s="30" t="s">
        <v>37</v>
      </c>
      <c r="AF232" s="30" t="s">
        <v>37</v>
      </c>
      <c r="AG232" s="30" t="s">
        <v>37</v>
      </c>
      <c r="AH232" s="30">
        <v>1</v>
      </c>
      <c r="AI232" s="30">
        <v>2</v>
      </c>
      <c r="AJ232" s="30">
        <v>0</v>
      </c>
      <c r="AK232" s="32">
        <v>44379</v>
      </c>
      <c r="AL232" s="30"/>
    </row>
    <row r="233" spans="1:38" x14ac:dyDescent="0.25">
      <c r="A233" s="40" t="s">
        <v>26</v>
      </c>
      <c r="B233" s="40" t="s">
        <v>201</v>
      </c>
      <c r="C233" s="15">
        <v>2022</v>
      </c>
      <c r="D233" s="15">
        <v>0</v>
      </c>
      <c r="E233" s="30" t="s">
        <v>138</v>
      </c>
      <c r="F233" s="30">
        <v>5</v>
      </c>
      <c r="G233" s="14">
        <f t="shared" si="37"/>
        <v>9</v>
      </c>
      <c r="H233" s="19">
        <v>4</v>
      </c>
      <c r="I233" s="19">
        <v>5</v>
      </c>
      <c r="J233" s="24">
        <f>H233/G233</f>
        <v>0.44444444444444442</v>
      </c>
      <c r="K233" s="14">
        <v>0.25</v>
      </c>
      <c r="L233" s="19">
        <f t="shared" si="39"/>
        <v>9</v>
      </c>
      <c r="M233" s="19">
        <f>AVERAGE(W233:Z233)</f>
        <v>16.25</v>
      </c>
      <c r="O233" s="19">
        <v>100</v>
      </c>
      <c r="P233" s="19">
        <v>10</v>
      </c>
      <c r="Q233" s="40">
        <v>10</v>
      </c>
      <c r="R233" s="19">
        <v>30</v>
      </c>
      <c r="S233" s="40" t="s">
        <v>202</v>
      </c>
      <c r="T233" s="41" t="s">
        <v>502</v>
      </c>
      <c r="U233" s="14">
        <v>1</v>
      </c>
      <c r="W233" s="14">
        <v>14</v>
      </c>
      <c r="X233" s="14">
        <v>25</v>
      </c>
      <c r="Y233" s="14">
        <v>10</v>
      </c>
      <c r="Z233" s="14">
        <v>16</v>
      </c>
      <c r="AF233" s="41" t="s">
        <v>37</v>
      </c>
      <c r="AK233" s="42">
        <v>44747</v>
      </c>
    </row>
    <row r="234" spans="1:38" x14ac:dyDescent="0.25">
      <c r="A234" s="40" t="s">
        <v>26</v>
      </c>
      <c r="B234" s="40" t="s">
        <v>201</v>
      </c>
      <c r="C234" s="34">
        <v>2023</v>
      </c>
      <c r="D234" s="15">
        <v>0</v>
      </c>
      <c r="E234" s="30" t="s">
        <v>138</v>
      </c>
      <c r="F234" s="30">
        <v>5</v>
      </c>
      <c r="G234" s="14">
        <f t="shared" si="37"/>
        <v>13</v>
      </c>
      <c r="H234" s="19">
        <v>1</v>
      </c>
      <c r="I234" s="19">
        <v>12</v>
      </c>
      <c r="J234" s="24">
        <f>H234/G234</f>
        <v>7.6923076923076927E-2</v>
      </c>
      <c r="K234" s="14">
        <v>0.25</v>
      </c>
      <c r="L234" s="19">
        <f t="shared" si="39"/>
        <v>13</v>
      </c>
      <c r="M234" s="19">
        <f>AVERAGE(W234:Z234)</f>
        <v>23.5</v>
      </c>
      <c r="N234" s="19">
        <f>AVERAGE(AA234:AB234)</f>
        <v>31</v>
      </c>
      <c r="O234" s="19">
        <v>95</v>
      </c>
      <c r="P234" s="19">
        <v>1</v>
      </c>
      <c r="Q234" s="40">
        <v>10</v>
      </c>
      <c r="R234" s="19">
        <v>25</v>
      </c>
      <c r="S234" s="59" t="s">
        <v>611</v>
      </c>
      <c r="T234" s="57" t="s">
        <v>502</v>
      </c>
      <c r="U234" s="14">
        <v>5</v>
      </c>
      <c r="W234" s="14">
        <v>25</v>
      </c>
      <c r="X234" s="14">
        <v>17</v>
      </c>
      <c r="Y234" s="14">
        <v>32</v>
      </c>
      <c r="Z234" s="14">
        <v>20</v>
      </c>
      <c r="AA234" s="14">
        <v>24</v>
      </c>
      <c r="AB234" s="14">
        <v>38</v>
      </c>
      <c r="AF234" s="41" t="s">
        <v>37</v>
      </c>
      <c r="AH234" s="57" t="s">
        <v>577</v>
      </c>
      <c r="AK234" s="42">
        <v>44747</v>
      </c>
    </row>
    <row r="235" spans="1:38" x14ac:dyDescent="0.25">
      <c r="A235" s="40" t="s">
        <v>26</v>
      </c>
      <c r="B235" s="40" t="s">
        <v>201</v>
      </c>
      <c r="C235" s="34">
        <v>2024</v>
      </c>
      <c r="D235" s="15">
        <v>0</v>
      </c>
      <c r="E235" s="30" t="s">
        <v>138</v>
      </c>
      <c r="F235" s="30">
        <v>5</v>
      </c>
      <c r="G235" s="14">
        <f t="shared" si="37"/>
        <v>7</v>
      </c>
      <c r="H235" s="19">
        <v>0</v>
      </c>
      <c r="I235" s="19">
        <v>7</v>
      </c>
      <c r="J235" s="24">
        <f>H235/G235</f>
        <v>0</v>
      </c>
      <c r="K235" s="14">
        <v>0.25</v>
      </c>
      <c r="L235" s="19">
        <f t="shared" si="39"/>
        <v>7</v>
      </c>
      <c r="M235" s="19">
        <f>AVERAGE(X235:Z235)</f>
        <v>16</v>
      </c>
      <c r="O235" s="19">
        <v>80</v>
      </c>
      <c r="P235" s="19">
        <v>5</v>
      </c>
      <c r="Q235" s="19">
        <v>15</v>
      </c>
      <c r="W235" s="14">
        <v>12</v>
      </c>
      <c r="X235" s="14">
        <v>16</v>
      </c>
      <c r="Y235" s="14">
        <v>18</v>
      </c>
      <c r="Z235" s="14">
        <v>14</v>
      </c>
    </row>
    <row r="236" spans="1:38" x14ac:dyDescent="0.25">
      <c r="A236" s="27" t="s">
        <v>26</v>
      </c>
      <c r="B236" s="27" t="s">
        <v>204</v>
      </c>
      <c r="C236" s="34">
        <v>2021</v>
      </c>
      <c r="D236" s="34">
        <v>0</v>
      </c>
      <c r="E236" s="30" t="s">
        <v>138</v>
      </c>
      <c r="F236" s="30">
        <v>15</v>
      </c>
      <c r="G236" s="30">
        <f t="shared" si="37"/>
        <v>0</v>
      </c>
      <c r="H236" s="27">
        <v>0</v>
      </c>
      <c r="I236" s="27">
        <v>0</v>
      </c>
      <c r="J236" s="24" t="s">
        <v>37</v>
      </c>
      <c r="K236" s="30">
        <v>0.25</v>
      </c>
      <c r="L236" s="27">
        <f t="shared" si="39"/>
        <v>0</v>
      </c>
      <c r="M236" s="27">
        <f>AVERAGE(W236:Z236)</f>
        <v>18.25</v>
      </c>
      <c r="N236" s="27"/>
      <c r="O236" s="27">
        <v>60</v>
      </c>
      <c r="P236" s="27">
        <v>80</v>
      </c>
      <c r="Q236" s="27">
        <v>20</v>
      </c>
      <c r="R236" s="27">
        <v>16</v>
      </c>
      <c r="S236" s="27" t="s">
        <v>202</v>
      </c>
      <c r="T236" s="30"/>
      <c r="U236" s="30"/>
      <c r="V236" s="30"/>
      <c r="W236" s="30">
        <v>17</v>
      </c>
      <c r="X236" s="30">
        <v>22</v>
      </c>
      <c r="Y236" s="30">
        <v>16</v>
      </c>
      <c r="Z236" s="30">
        <v>18</v>
      </c>
      <c r="AA236" s="30"/>
      <c r="AB236" s="30"/>
      <c r="AD236" s="30" t="s">
        <v>203</v>
      </c>
      <c r="AE236" s="30" t="s">
        <v>37</v>
      </c>
      <c r="AF236" s="30" t="s">
        <v>37</v>
      </c>
      <c r="AG236" s="30" t="s">
        <v>37</v>
      </c>
      <c r="AH236" s="30">
        <v>1</v>
      </c>
      <c r="AI236" s="30">
        <v>2</v>
      </c>
      <c r="AJ236" s="30">
        <v>0</v>
      </c>
      <c r="AK236" s="32">
        <v>44379</v>
      </c>
      <c r="AL236" s="30"/>
    </row>
    <row r="237" spans="1:38" x14ac:dyDescent="0.25">
      <c r="A237" s="40" t="s">
        <v>26</v>
      </c>
      <c r="B237" s="40" t="s">
        <v>204</v>
      </c>
      <c r="C237" s="15">
        <v>2022</v>
      </c>
      <c r="D237" s="15">
        <v>0</v>
      </c>
      <c r="E237" s="30" t="s">
        <v>138</v>
      </c>
      <c r="F237" s="30">
        <v>15</v>
      </c>
      <c r="G237" s="14">
        <f t="shared" si="37"/>
        <v>0</v>
      </c>
      <c r="H237" s="19">
        <v>0</v>
      </c>
      <c r="I237" s="19">
        <v>0</v>
      </c>
      <c r="J237" s="24" t="s">
        <v>37</v>
      </c>
      <c r="K237" s="14">
        <v>0.25</v>
      </c>
      <c r="L237" s="19">
        <f t="shared" si="39"/>
        <v>0</v>
      </c>
      <c r="M237" s="19">
        <f>AVERAGE(W237:Z237)</f>
        <v>17</v>
      </c>
      <c r="O237" s="19">
        <v>80</v>
      </c>
      <c r="P237" s="19">
        <v>90</v>
      </c>
      <c r="Q237" s="19">
        <v>10</v>
      </c>
      <c r="R237" s="19">
        <v>10</v>
      </c>
      <c r="S237" s="40" t="s">
        <v>202</v>
      </c>
      <c r="T237" s="41" t="s">
        <v>37</v>
      </c>
      <c r="U237" s="14">
        <v>0</v>
      </c>
      <c r="W237" s="14">
        <v>17</v>
      </c>
      <c r="X237" s="14">
        <v>19</v>
      </c>
      <c r="Y237" s="14">
        <v>19</v>
      </c>
      <c r="Z237" s="14">
        <v>13</v>
      </c>
      <c r="AF237" s="41" t="s">
        <v>37</v>
      </c>
      <c r="AK237" s="42">
        <v>44747</v>
      </c>
    </row>
    <row r="238" spans="1:38" x14ac:dyDescent="0.25">
      <c r="A238" s="40" t="s">
        <v>26</v>
      </c>
      <c r="B238" s="40" t="s">
        <v>204</v>
      </c>
      <c r="C238" s="34">
        <v>2023</v>
      </c>
      <c r="D238" s="15">
        <v>0</v>
      </c>
      <c r="E238" s="30" t="s">
        <v>138</v>
      </c>
      <c r="F238" s="30">
        <v>15</v>
      </c>
      <c r="G238" s="14">
        <f t="shared" si="37"/>
        <v>0</v>
      </c>
      <c r="H238" s="19">
        <v>0</v>
      </c>
      <c r="I238" s="19">
        <v>0</v>
      </c>
      <c r="J238" s="24" t="s">
        <v>37</v>
      </c>
      <c r="K238" s="14">
        <v>0.25</v>
      </c>
      <c r="L238" s="19">
        <f t="shared" si="39"/>
        <v>0</v>
      </c>
      <c r="M238" s="19">
        <f>AVERAGE(W238:Z238)</f>
        <v>22</v>
      </c>
      <c r="N238" s="19">
        <f>AVERAGE(AA238:AB238)</f>
        <v>30.25</v>
      </c>
      <c r="O238" s="19">
        <v>85</v>
      </c>
      <c r="P238" s="19">
        <v>60</v>
      </c>
      <c r="Q238" s="19">
        <v>15</v>
      </c>
      <c r="R238" s="59" t="s">
        <v>618</v>
      </c>
      <c r="S238" s="59" t="s">
        <v>619</v>
      </c>
      <c r="T238" s="57" t="s">
        <v>502</v>
      </c>
      <c r="U238" s="14">
        <v>3</v>
      </c>
      <c r="W238" s="14">
        <v>21</v>
      </c>
      <c r="X238" s="14">
        <v>28</v>
      </c>
      <c r="Y238" s="14">
        <v>21</v>
      </c>
      <c r="Z238" s="14">
        <v>18</v>
      </c>
      <c r="AA238" s="14">
        <v>27</v>
      </c>
      <c r="AB238" s="14">
        <v>33.5</v>
      </c>
      <c r="AF238" s="41" t="s">
        <v>37</v>
      </c>
      <c r="AH238" s="57" t="s">
        <v>577</v>
      </c>
      <c r="AK238" s="42">
        <v>44747</v>
      </c>
    </row>
    <row r="239" spans="1:38" x14ac:dyDescent="0.25">
      <c r="A239" s="40" t="s">
        <v>26</v>
      </c>
      <c r="B239" s="40" t="s">
        <v>204</v>
      </c>
      <c r="C239" s="34">
        <v>2024</v>
      </c>
      <c r="D239" s="15">
        <v>0</v>
      </c>
      <c r="E239" s="30" t="s">
        <v>138</v>
      </c>
      <c r="F239" s="30">
        <v>15</v>
      </c>
      <c r="G239" s="14">
        <f t="shared" si="37"/>
        <v>2</v>
      </c>
      <c r="H239" s="19">
        <v>0</v>
      </c>
      <c r="I239" s="19">
        <v>2</v>
      </c>
      <c r="J239" s="24">
        <f>H239/G239</f>
        <v>0</v>
      </c>
      <c r="K239" s="14">
        <v>0.25</v>
      </c>
      <c r="L239" s="19">
        <f t="shared" si="39"/>
        <v>2</v>
      </c>
      <c r="M239" s="19">
        <f>AVERAGE(X239:Z239)</f>
        <v>19.666666666666668</v>
      </c>
      <c r="O239" s="19">
        <v>90</v>
      </c>
      <c r="P239" s="19">
        <v>15</v>
      </c>
      <c r="Q239" s="19">
        <v>10</v>
      </c>
      <c r="W239" s="14">
        <v>20</v>
      </c>
      <c r="X239" s="14">
        <v>24</v>
      </c>
      <c r="Y239" s="14">
        <v>23</v>
      </c>
      <c r="Z239" s="14">
        <v>12</v>
      </c>
    </row>
    <row r="240" spans="1:38" hidden="1" x14ac:dyDescent="0.25">
      <c r="A240" s="21" t="s">
        <v>26</v>
      </c>
      <c r="B240" s="27" t="s">
        <v>165</v>
      </c>
      <c r="C240" s="3">
        <v>2014</v>
      </c>
      <c r="D240" s="3">
        <v>1</v>
      </c>
      <c r="E240" s="3" t="s">
        <v>37</v>
      </c>
      <c r="F240" s="3" t="s">
        <v>37</v>
      </c>
      <c r="G240" s="2">
        <v>2</v>
      </c>
      <c r="H240" s="21">
        <v>1</v>
      </c>
      <c r="I240" s="21">
        <f>G240-H240</f>
        <v>1</v>
      </c>
      <c r="J240" s="24">
        <f>H240/G240</f>
        <v>0.5</v>
      </c>
      <c r="K240" s="2">
        <v>0.25</v>
      </c>
      <c r="L240" s="27">
        <f t="shared" si="39"/>
        <v>2</v>
      </c>
      <c r="M240" s="27">
        <v>12</v>
      </c>
      <c r="N240" s="27"/>
      <c r="O240" s="27">
        <v>85</v>
      </c>
      <c r="P240" s="27"/>
      <c r="Q240" s="27"/>
      <c r="R240" s="27"/>
      <c r="S240" s="27"/>
      <c r="T240" s="30"/>
      <c r="U240" s="30"/>
      <c r="V240" s="30"/>
      <c r="W240" s="30"/>
      <c r="X240" s="30"/>
      <c r="Y240" s="30"/>
      <c r="Z240" s="30"/>
      <c r="AA240" s="30"/>
      <c r="AB240" s="30"/>
      <c r="AC240" s="2" t="s">
        <v>160</v>
      </c>
      <c r="AD240" s="3" t="s">
        <v>164</v>
      </c>
      <c r="AE240" s="3">
        <v>2</v>
      </c>
      <c r="AF240" s="2">
        <v>2557.5</v>
      </c>
      <c r="AG240" s="30">
        <v>49.4</v>
      </c>
      <c r="AH240" s="30">
        <v>1</v>
      </c>
      <c r="AI240" s="30">
        <v>1</v>
      </c>
      <c r="AJ240" s="30">
        <v>1</v>
      </c>
      <c r="AK240" s="30"/>
      <c r="AL240" s="30"/>
    </row>
    <row r="241" spans="1:38" hidden="1" x14ac:dyDescent="0.25">
      <c r="A241" s="21" t="s">
        <v>26</v>
      </c>
      <c r="B241" s="27" t="s">
        <v>165</v>
      </c>
      <c r="C241" s="3">
        <v>2015</v>
      </c>
      <c r="D241" s="3">
        <v>1</v>
      </c>
      <c r="E241" s="3" t="s">
        <v>37</v>
      </c>
      <c r="F241" s="3" t="s">
        <v>37</v>
      </c>
      <c r="G241" s="2">
        <v>4</v>
      </c>
      <c r="H241" s="21">
        <v>1</v>
      </c>
      <c r="I241" s="21">
        <f>G241-H241</f>
        <v>3</v>
      </c>
      <c r="J241" s="24">
        <f>H241/G241</f>
        <v>0.25</v>
      </c>
      <c r="K241" s="2">
        <v>0.25</v>
      </c>
      <c r="L241" s="27">
        <f t="shared" si="39"/>
        <v>4</v>
      </c>
      <c r="M241" s="27" t="s">
        <v>37</v>
      </c>
      <c r="N241" s="27"/>
      <c r="O241" s="27" t="s">
        <v>37</v>
      </c>
      <c r="P241" s="27"/>
      <c r="Q241" s="27"/>
      <c r="R241" s="27"/>
      <c r="S241" s="27"/>
      <c r="T241" s="30"/>
      <c r="U241" s="30"/>
      <c r="V241" s="30"/>
      <c r="W241" s="30"/>
      <c r="X241" s="30"/>
      <c r="Y241" s="30"/>
      <c r="Z241" s="30"/>
      <c r="AA241" s="30"/>
      <c r="AB241" s="30"/>
      <c r="AC241" s="2" t="s">
        <v>160</v>
      </c>
      <c r="AD241" s="3" t="s">
        <v>164</v>
      </c>
      <c r="AE241" s="3">
        <v>1.25</v>
      </c>
      <c r="AF241" s="2">
        <v>557.75</v>
      </c>
      <c r="AG241" s="30" t="s">
        <v>37</v>
      </c>
      <c r="AH241" s="30">
        <v>1</v>
      </c>
      <c r="AI241" s="30">
        <v>2</v>
      </c>
      <c r="AJ241" s="30">
        <v>0</v>
      </c>
      <c r="AK241" s="30"/>
      <c r="AL241" s="30"/>
    </row>
    <row r="242" spans="1:38" hidden="1" x14ac:dyDescent="0.25">
      <c r="A242" s="21" t="s">
        <v>26</v>
      </c>
      <c r="B242" s="27" t="s">
        <v>165</v>
      </c>
      <c r="C242" s="3">
        <v>2016</v>
      </c>
      <c r="D242" s="3">
        <v>1</v>
      </c>
      <c r="E242" s="3" t="s">
        <v>37</v>
      </c>
      <c r="F242" s="3" t="s">
        <v>37</v>
      </c>
      <c r="G242" s="25">
        <v>5</v>
      </c>
      <c r="H242" s="23">
        <v>0</v>
      </c>
      <c r="I242" s="21">
        <f>G242-H242</f>
        <v>5</v>
      </c>
      <c r="J242" s="24">
        <f>H242/G242</f>
        <v>0</v>
      </c>
      <c r="K242" s="2">
        <v>0.25</v>
      </c>
      <c r="L242" s="27">
        <f t="shared" si="39"/>
        <v>5</v>
      </c>
      <c r="M242" s="27">
        <v>5.5</v>
      </c>
      <c r="N242" s="27"/>
      <c r="O242" s="27">
        <v>80</v>
      </c>
      <c r="P242" s="27"/>
      <c r="Q242" s="27"/>
      <c r="R242" s="27"/>
      <c r="S242" s="27"/>
      <c r="T242" s="30"/>
      <c r="U242" s="30"/>
      <c r="V242" s="30"/>
      <c r="W242" s="30"/>
      <c r="X242" s="30"/>
      <c r="Y242" s="30"/>
      <c r="Z242" s="30"/>
      <c r="AA242" s="30"/>
      <c r="AB242" s="30"/>
      <c r="AC242" s="2" t="s">
        <v>160</v>
      </c>
      <c r="AD242" s="3" t="s">
        <v>164</v>
      </c>
      <c r="AE242" s="3">
        <v>0.4</v>
      </c>
      <c r="AF242" s="2">
        <v>1194.4000000000001</v>
      </c>
      <c r="AG242" s="30">
        <v>62.924999999999997</v>
      </c>
      <c r="AH242" s="30">
        <v>1</v>
      </c>
      <c r="AI242" s="30">
        <v>2</v>
      </c>
      <c r="AJ242" s="30">
        <v>0</v>
      </c>
      <c r="AK242" s="30"/>
      <c r="AL242" s="30"/>
    </row>
    <row r="243" spans="1:38" hidden="1" x14ac:dyDescent="0.25">
      <c r="A243" s="21" t="s">
        <v>26</v>
      </c>
      <c r="B243" s="27" t="s">
        <v>165</v>
      </c>
      <c r="C243" s="3">
        <v>2017</v>
      </c>
      <c r="D243" s="3">
        <v>1</v>
      </c>
      <c r="E243" s="3" t="s">
        <v>37</v>
      </c>
      <c r="F243" s="3" t="s">
        <v>37</v>
      </c>
      <c r="G243" s="25">
        <v>2</v>
      </c>
      <c r="H243" s="23">
        <v>0</v>
      </c>
      <c r="I243" s="21">
        <f>G243-H243</f>
        <v>2</v>
      </c>
      <c r="J243" s="24">
        <f>H243/G243</f>
        <v>0</v>
      </c>
      <c r="K243" s="2">
        <v>0.25</v>
      </c>
      <c r="L243" s="27">
        <f t="shared" si="39"/>
        <v>2</v>
      </c>
      <c r="M243" s="27">
        <v>7.375</v>
      </c>
      <c r="N243" s="27"/>
      <c r="O243" s="27">
        <v>90</v>
      </c>
      <c r="P243" s="27"/>
      <c r="Q243" s="27"/>
      <c r="R243" s="27"/>
      <c r="S243" s="27"/>
      <c r="T243" s="30"/>
      <c r="U243" s="30"/>
      <c r="V243" s="30"/>
      <c r="W243" s="30"/>
      <c r="X243" s="30"/>
      <c r="Y243" s="30"/>
      <c r="Z243" s="30"/>
      <c r="AA243" s="30"/>
      <c r="AB243" s="30"/>
      <c r="AC243" s="2" t="s">
        <v>160</v>
      </c>
      <c r="AD243" s="3" t="s">
        <v>164</v>
      </c>
      <c r="AE243" s="3">
        <v>0.5</v>
      </c>
      <c r="AF243" s="2">
        <v>2180</v>
      </c>
      <c r="AG243" s="30">
        <v>54.1</v>
      </c>
      <c r="AH243" s="30">
        <v>1</v>
      </c>
      <c r="AI243" s="30">
        <v>2</v>
      </c>
      <c r="AJ243" s="30">
        <v>0</v>
      </c>
      <c r="AK243" s="30"/>
      <c r="AL243" s="30"/>
    </row>
    <row r="244" spans="1:38" hidden="1" x14ac:dyDescent="0.25">
      <c r="A244" s="21" t="s">
        <v>26</v>
      </c>
      <c r="B244" s="27" t="s">
        <v>165</v>
      </c>
      <c r="C244" s="3">
        <v>2018</v>
      </c>
      <c r="D244" s="3">
        <v>1</v>
      </c>
      <c r="E244" s="3" t="s">
        <v>37</v>
      </c>
      <c r="F244" s="3" t="s">
        <v>37</v>
      </c>
      <c r="G244" s="30" t="s">
        <v>37</v>
      </c>
      <c r="H244" s="27" t="s">
        <v>37</v>
      </c>
      <c r="I244" s="27" t="s">
        <v>37</v>
      </c>
      <c r="J244" s="27" t="s">
        <v>37</v>
      </c>
      <c r="K244" s="2" t="s">
        <v>37</v>
      </c>
      <c r="L244" s="24" t="s">
        <v>37</v>
      </c>
      <c r="M244" s="27" t="s">
        <v>37</v>
      </c>
      <c r="N244" s="27"/>
      <c r="O244" s="27" t="s">
        <v>37</v>
      </c>
      <c r="P244" s="27"/>
      <c r="Q244" s="27"/>
      <c r="R244" s="27"/>
      <c r="S244" s="27"/>
      <c r="T244" s="30"/>
      <c r="U244" s="30"/>
      <c r="V244" s="30"/>
      <c r="W244" s="30"/>
      <c r="X244" s="30"/>
      <c r="Y244" s="30"/>
      <c r="Z244" s="30"/>
      <c r="AA244" s="30"/>
      <c r="AB244" s="30"/>
      <c r="AC244" s="2" t="s">
        <v>178</v>
      </c>
      <c r="AD244" s="3" t="s">
        <v>164</v>
      </c>
      <c r="AE244" s="3" t="s">
        <v>37</v>
      </c>
      <c r="AF244" s="30" t="s">
        <v>37</v>
      </c>
      <c r="AG244" s="30" t="s">
        <v>37</v>
      </c>
      <c r="AH244" s="30">
        <v>1</v>
      </c>
      <c r="AI244" s="30">
        <v>2</v>
      </c>
      <c r="AJ244" s="30">
        <v>0</v>
      </c>
      <c r="AK244" s="30"/>
      <c r="AL244" s="30"/>
    </row>
    <row r="245" spans="1:38" hidden="1" x14ac:dyDescent="0.25">
      <c r="A245" s="21" t="s">
        <v>26</v>
      </c>
      <c r="B245" s="27" t="s">
        <v>165</v>
      </c>
      <c r="C245" s="3">
        <v>2019</v>
      </c>
      <c r="D245" s="3">
        <v>1</v>
      </c>
      <c r="E245" s="3" t="s">
        <v>37</v>
      </c>
      <c r="F245" s="3" t="s">
        <v>37</v>
      </c>
      <c r="G245" s="30">
        <f t="shared" ref="G245:G282" si="40">SUM(H245:I245)</f>
        <v>1</v>
      </c>
      <c r="H245" s="27">
        <v>1</v>
      </c>
      <c r="I245" s="21">
        <v>0</v>
      </c>
      <c r="J245" s="24">
        <f>H245/G245</f>
        <v>1</v>
      </c>
      <c r="K245" s="30">
        <v>0.25</v>
      </c>
      <c r="L245" s="27">
        <f t="shared" ref="L245:L283" si="41">G245/(K245/0.25)</f>
        <v>1</v>
      </c>
      <c r="M245" s="27">
        <f>(7+9+7+8)/4</f>
        <v>7.75</v>
      </c>
      <c r="N245" s="27"/>
      <c r="O245" s="27">
        <v>50</v>
      </c>
      <c r="P245" s="27">
        <v>50</v>
      </c>
      <c r="Q245" s="27"/>
      <c r="R245" s="27">
        <v>5</v>
      </c>
      <c r="S245" s="27" t="s">
        <v>102</v>
      </c>
      <c r="T245" s="30"/>
      <c r="U245" s="30"/>
      <c r="V245" s="30"/>
      <c r="W245" s="30"/>
      <c r="X245" s="30"/>
      <c r="Y245" s="30"/>
      <c r="Z245" s="30"/>
      <c r="AA245" s="30"/>
      <c r="AB245" s="30"/>
      <c r="AC245" s="2" t="s">
        <v>178</v>
      </c>
      <c r="AD245" s="3" t="s">
        <v>164</v>
      </c>
      <c r="AE245" s="3">
        <v>1</v>
      </c>
      <c r="AF245" s="30" t="s">
        <v>37</v>
      </c>
      <c r="AG245" s="30" t="s">
        <v>37</v>
      </c>
      <c r="AH245" s="30">
        <v>1</v>
      </c>
      <c r="AI245" s="30">
        <v>2</v>
      </c>
      <c r="AJ245" s="30">
        <v>0</v>
      </c>
      <c r="AK245" s="32">
        <v>43623</v>
      </c>
      <c r="AL245" s="30">
        <v>10</v>
      </c>
    </row>
    <row r="246" spans="1:38" hidden="1" x14ac:dyDescent="0.25">
      <c r="A246" s="21" t="s">
        <v>26</v>
      </c>
      <c r="B246" s="27" t="s">
        <v>165</v>
      </c>
      <c r="C246" s="3">
        <v>2020</v>
      </c>
      <c r="D246" s="3">
        <v>1</v>
      </c>
      <c r="E246" s="3" t="s">
        <v>37</v>
      </c>
      <c r="F246" s="3" t="s">
        <v>37</v>
      </c>
      <c r="G246" s="30">
        <f t="shared" si="40"/>
        <v>1</v>
      </c>
      <c r="H246" s="27">
        <v>0</v>
      </c>
      <c r="I246" s="21">
        <v>1</v>
      </c>
      <c r="J246" s="24">
        <f>H246/G246</f>
        <v>0</v>
      </c>
      <c r="K246" s="30">
        <v>0.25</v>
      </c>
      <c r="L246" s="27">
        <f t="shared" si="41"/>
        <v>1</v>
      </c>
      <c r="M246" s="27">
        <v>11</v>
      </c>
      <c r="N246" s="27"/>
      <c r="O246" s="27">
        <v>90</v>
      </c>
      <c r="P246" s="27">
        <v>40</v>
      </c>
      <c r="Q246" s="27"/>
      <c r="R246" s="27"/>
      <c r="S246" s="27"/>
      <c r="T246" s="30"/>
      <c r="U246" s="30"/>
      <c r="V246" s="30"/>
      <c r="W246" s="30"/>
      <c r="X246" s="30"/>
      <c r="Y246" s="30"/>
      <c r="Z246" s="30"/>
      <c r="AA246" s="30"/>
      <c r="AB246" s="30"/>
      <c r="AC246" s="2" t="s">
        <v>178</v>
      </c>
      <c r="AD246" s="3" t="s">
        <v>164</v>
      </c>
      <c r="AE246" s="3" t="s">
        <v>37</v>
      </c>
      <c r="AF246" s="30" t="s">
        <v>37</v>
      </c>
      <c r="AG246" s="30"/>
      <c r="AH246" s="30">
        <v>1</v>
      </c>
      <c r="AI246" s="30">
        <v>2</v>
      </c>
      <c r="AJ246" s="30">
        <v>0</v>
      </c>
      <c r="AK246" s="32" t="s">
        <v>163</v>
      </c>
      <c r="AL246" s="30"/>
    </row>
    <row r="247" spans="1:38" hidden="1" x14ac:dyDescent="0.25">
      <c r="A247" s="27" t="s">
        <v>26</v>
      </c>
      <c r="B247" s="27" t="s">
        <v>165</v>
      </c>
      <c r="C247" s="34">
        <v>2021</v>
      </c>
      <c r="D247" s="34">
        <v>1</v>
      </c>
      <c r="E247" s="30" t="s">
        <v>37</v>
      </c>
      <c r="F247" s="30" t="s">
        <v>37</v>
      </c>
      <c r="G247" s="30">
        <f t="shared" si="40"/>
        <v>0</v>
      </c>
      <c r="H247" s="27">
        <v>0</v>
      </c>
      <c r="I247" s="27">
        <v>0</v>
      </c>
      <c r="J247" s="24" t="s">
        <v>37</v>
      </c>
      <c r="K247" s="30">
        <v>0.25</v>
      </c>
      <c r="L247" s="27">
        <f t="shared" si="41"/>
        <v>0</v>
      </c>
      <c r="M247" s="27">
        <f>AVERAGE(W247:Z247)</f>
        <v>18.5</v>
      </c>
      <c r="N247" s="27"/>
      <c r="O247" s="27">
        <v>90</v>
      </c>
      <c r="P247" s="27">
        <v>30</v>
      </c>
      <c r="Q247" s="27">
        <v>5</v>
      </c>
      <c r="R247" s="27">
        <v>0</v>
      </c>
      <c r="S247" s="27"/>
      <c r="T247" s="30"/>
      <c r="U247" s="30"/>
      <c r="V247" s="30"/>
      <c r="W247" s="30">
        <v>15</v>
      </c>
      <c r="X247" s="30">
        <v>16</v>
      </c>
      <c r="Y247" s="30">
        <v>25</v>
      </c>
      <c r="Z247" s="30">
        <v>18</v>
      </c>
      <c r="AA247" s="30"/>
      <c r="AB247" s="30"/>
      <c r="AC247" s="2" t="s">
        <v>178</v>
      </c>
      <c r="AD247" s="30" t="s">
        <v>164</v>
      </c>
      <c r="AE247" s="30" t="s">
        <v>37</v>
      </c>
      <c r="AF247" s="30" t="s">
        <v>37</v>
      </c>
      <c r="AG247" s="30" t="s">
        <v>37</v>
      </c>
      <c r="AH247" s="30">
        <v>1</v>
      </c>
      <c r="AI247" s="30">
        <v>2</v>
      </c>
      <c r="AJ247" s="30">
        <v>0</v>
      </c>
      <c r="AK247" s="32">
        <v>44379</v>
      </c>
      <c r="AL247" s="30"/>
    </row>
    <row r="248" spans="1:38" hidden="1" x14ac:dyDescent="0.25">
      <c r="A248" s="40" t="s">
        <v>26</v>
      </c>
      <c r="B248" s="40" t="s">
        <v>165</v>
      </c>
      <c r="C248" s="15">
        <v>2022</v>
      </c>
      <c r="D248" s="15">
        <v>1</v>
      </c>
      <c r="E248" s="30" t="s">
        <v>37</v>
      </c>
      <c r="F248" s="30" t="s">
        <v>37</v>
      </c>
      <c r="G248" s="14">
        <f t="shared" si="40"/>
        <v>0</v>
      </c>
      <c r="H248" s="19">
        <v>0</v>
      </c>
      <c r="I248" s="19">
        <v>0</v>
      </c>
      <c r="J248" s="24" t="s">
        <v>37</v>
      </c>
      <c r="K248" s="14">
        <v>0.25</v>
      </c>
      <c r="L248" s="19">
        <f t="shared" si="41"/>
        <v>0</v>
      </c>
      <c r="M248" s="19">
        <f>AVERAGE(W248:Z248)</f>
        <v>16.5</v>
      </c>
      <c r="O248" s="19">
        <v>96</v>
      </c>
      <c r="P248" s="19">
        <v>30</v>
      </c>
      <c r="Q248" s="19">
        <v>2</v>
      </c>
      <c r="R248" s="19">
        <v>5</v>
      </c>
      <c r="S248" s="40" t="s">
        <v>102</v>
      </c>
      <c r="T248" s="41" t="s">
        <v>37</v>
      </c>
      <c r="U248" s="14">
        <v>0</v>
      </c>
      <c r="W248" s="14">
        <v>16</v>
      </c>
      <c r="X248" s="14">
        <v>20</v>
      </c>
      <c r="Y248" s="14">
        <v>15</v>
      </c>
      <c r="Z248" s="14">
        <v>15</v>
      </c>
      <c r="AF248" s="41" t="s">
        <v>37</v>
      </c>
      <c r="AK248" s="42">
        <v>44747</v>
      </c>
    </row>
    <row r="249" spans="1:38" hidden="1" x14ac:dyDescent="0.25">
      <c r="A249" s="40" t="s">
        <v>26</v>
      </c>
      <c r="B249" s="40" t="s">
        <v>165</v>
      </c>
      <c r="C249" s="34">
        <v>2023</v>
      </c>
      <c r="D249" s="15">
        <v>1</v>
      </c>
      <c r="E249" s="30" t="s">
        <v>37</v>
      </c>
      <c r="F249" s="30" t="s">
        <v>37</v>
      </c>
      <c r="G249" s="14">
        <f t="shared" si="40"/>
        <v>0</v>
      </c>
      <c r="H249" s="19">
        <v>0</v>
      </c>
      <c r="I249" s="19">
        <v>0</v>
      </c>
      <c r="J249" s="24" t="s">
        <v>37</v>
      </c>
      <c r="K249" s="14">
        <v>0.25</v>
      </c>
      <c r="L249" s="19">
        <f t="shared" si="41"/>
        <v>0</v>
      </c>
      <c r="M249" s="19">
        <f>AVERAGE(W249:Z249)</f>
        <v>14</v>
      </c>
      <c r="N249" s="19">
        <f>AVERAGE(AA249:AB249)</f>
        <v>24</v>
      </c>
      <c r="O249" s="19">
        <v>90</v>
      </c>
      <c r="P249" s="19">
        <v>50</v>
      </c>
      <c r="Q249" s="19">
        <v>7</v>
      </c>
      <c r="R249" s="59" t="s">
        <v>647</v>
      </c>
      <c r="S249" s="59" t="s">
        <v>648</v>
      </c>
      <c r="T249" s="57" t="s">
        <v>37</v>
      </c>
      <c r="U249" s="14">
        <v>0</v>
      </c>
      <c r="W249" s="14">
        <v>14</v>
      </c>
      <c r="X249" s="14">
        <v>13</v>
      </c>
      <c r="Y249" s="14">
        <v>17</v>
      </c>
      <c r="Z249" s="14">
        <v>12</v>
      </c>
      <c r="AA249" s="14">
        <v>30.5</v>
      </c>
      <c r="AB249" s="14">
        <v>17.5</v>
      </c>
      <c r="AF249" s="41" t="s">
        <v>37</v>
      </c>
      <c r="AH249" s="57" t="s">
        <v>577</v>
      </c>
      <c r="AK249" s="42">
        <v>44747</v>
      </c>
    </row>
    <row r="250" spans="1:38" hidden="1" x14ac:dyDescent="0.25">
      <c r="A250" s="40" t="s">
        <v>26</v>
      </c>
      <c r="B250" s="40" t="s">
        <v>165</v>
      </c>
      <c r="C250" s="34">
        <v>2024</v>
      </c>
      <c r="D250" s="15">
        <v>1</v>
      </c>
      <c r="E250" s="30" t="s">
        <v>37</v>
      </c>
      <c r="F250" s="30" t="s">
        <v>37</v>
      </c>
      <c r="G250" s="14">
        <f t="shared" si="40"/>
        <v>1</v>
      </c>
      <c r="H250" s="19">
        <v>0</v>
      </c>
      <c r="I250" s="19">
        <v>1</v>
      </c>
      <c r="J250" s="24">
        <f>H250/G250</f>
        <v>0</v>
      </c>
      <c r="K250" s="14">
        <v>0.25</v>
      </c>
      <c r="L250" s="19">
        <f t="shared" si="41"/>
        <v>1</v>
      </c>
      <c r="M250" s="19">
        <f>AVERAGE(X250:Z250)</f>
        <v>19.333333333333332</v>
      </c>
      <c r="O250" s="19">
        <v>95</v>
      </c>
      <c r="P250" s="19">
        <v>50</v>
      </c>
      <c r="Q250" s="19">
        <v>4</v>
      </c>
      <c r="W250" s="14">
        <v>19</v>
      </c>
      <c r="X250" s="14">
        <v>18</v>
      </c>
      <c r="Y250" s="14">
        <v>19</v>
      </c>
      <c r="Z250" s="14">
        <v>21</v>
      </c>
    </row>
    <row r="251" spans="1:38" x14ac:dyDescent="0.25">
      <c r="A251" s="27" t="s">
        <v>26</v>
      </c>
      <c r="B251" s="27" t="s">
        <v>208</v>
      </c>
      <c r="C251" s="34">
        <v>2021</v>
      </c>
      <c r="D251" s="34">
        <v>0</v>
      </c>
      <c r="E251" s="30" t="s">
        <v>138</v>
      </c>
      <c r="F251" s="30">
        <v>25</v>
      </c>
      <c r="G251" s="30">
        <f t="shared" si="40"/>
        <v>0</v>
      </c>
      <c r="H251" s="27">
        <v>0</v>
      </c>
      <c r="I251" s="27">
        <v>0</v>
      </c>
      <c r="J251" s="24" t="s">
        <v>37</v>
      </c>
      <c r="K251" s="30">
        <v>0.25</v>
      </c>
      <c r="L251" s="27">
        <f t="shared" si="41"/>
        <v>0</v>
      </c>
      <c r="M251" s="27">
        <f>AVERAGE(W251:Z251)</f>
        <v>16.75</v>
      </c>
      <c r="N251" s="27"/>
      <c r="O251" s="27">
        <v>80</v>
      </c>
      <c r="P251" s="27">
        <v>5</v>
      </c>
      <c r="Q251" s="27">
        <v>20</v>
      </c>
      <c r="R251" s="27">
        <v>3</v>
      </c>
      <c r="S251" s="27" t="s">
        <v>102</v>
      </c>
      <c r="T251" s="30"/>
      <c r="U251" s="30"/>
      <c r="V251" s="30" t="s">
        <v>209</v>
      </c>
      <c r="W251" s="30">
        <v>17</v>
      </c>
      <c r="X251" s="30">
        <v>16</v>
      </c>
      <c r="Y251" s="30">
        <v>14</v>
      </c>
      <c r="Z251" s="30">
        <v>20</v>
      </c>
      <c r="AA251" s="30"/>
      <c r="AB251" s="30"/>
      <c r="AD251" s="30" t="s">
        <v>207</v>
      </c>
      <c r="AE251" s="30" t="s">
        <v>37</v>
      </c>
      <c r="AF251" s="30" t="s">
        <v>37</v>
      </c>
      <c r="AG251" s="30" t="s">
        <v>37</v>
      </c>
      <c r="AH251" s="30">
        <v>1</v>
      </c>
      <c r="AI251" s="30">
        <v>2</v>
      </c>
      <c r="AJ251" s="30">
        <v>0</v>
      </c>
      <c r="AK251" s="32">
        <v>44379</v>
      </c>
      <c r="AL251" s="30"/>
    </row>
    <row r="252" spans="1:38" x14ac:dyDescent="0.25">
      <c r="A252" s="40" t="s">
        <v>26</v>
      </c>
      <c r="B252" s="40" t="s">
        <v>208</v>
      </c>
      <c r="C252" s="15">
        <v>2022</v>
      </c>
      <c r="D252" s="15">
        <v>0</v>
      </c>
      <c r="E252" s="30" t="s">
        <v>138</v>
      </c>
      <c r="F252" s="30">
        <v>25</v>
      </c>
      <c r="G252" s="14">
        <f t="shared" si="40"/>
        <v>0</v>
      </c>
      <c r="H252" s="19">
        <v>0</v>
      </c>
      <c r="I252" s="19">
        <v>0</v>
      </c>
      <c r="J252" s="24" t="s">
        <v>37</v>
      </c>
      <c r="K252" s="14">
        <v>0.25</v>
      </c>
      <c r="L252" s="19">
        <f t="shared" si="41"/>
        <v>0</v>
      </c>
      <c r="M252" s="19">
        <f>AVERAGE(W252:Z252)</f>
        <v>17.75</v>
      </c>
      <c r="O252" s="19">
        <v>100</v>
      </c>
      <c r="P252" s="19">
        <v>60</v>
      </c>
      <c r="Q252" s="19">
        <v>6</v>
      </c>
      <c r="R252" s="19">
        <v>3</v>
      </c>
      <c r="S252" s="40" t="s">
        <v>102</v>
      </c>
      <c r="T252" s="41" t="s">
        <v>514</v>
      </c>
      <c r="U252" s="14">
        <v>12</v>
      </c>
      <c r="W252" s="14">
        <v>18</v>
      </c>
      <c r="X252" s="14">
        <v>18</v>
      </c>
      <c r="Y252" s="14">
        <v>19</v>
      </c>
      <c r="Z252" s="14">
        <v>16</v>
      </c>
      <c r="AF252" s="41" t="s">
        <v>37</v>
      </c>
      <c r="AK252" s="42">
        <v>44747</v>
      </c>
    </row>
    <row r="253" spans="1:38" x14ac:dyDescent="0.25">
      <c r="A253" s="40" t="s">
        <v>26</v>
      </c>
      <c r="B253" s="40" t="s">
        <v>208</v>
      </c>
      <c r="C253" s="34">
        <v>2023</v>
      </c>
      <c r="D253" s="15">
        <v>0</v>
      </c>
      <c r="E253" s="30" t="s">
        <v>138</v>
      </c>
      <c r="F253" s="30">
        <v>25</v>
      </c>
      <c r="G253" s="14">
        <f t="shared" si="40"/>
        <v>0</v>
      </c>
      <c r="H253" s="19">
        <v>0</v>
      </c>
      <c r="I253" s="19">
        <v>0</v>
      </c>
      <c r="J253" s="24" t="s">
        <v>37</v>
      </c>
      <c r="K253" s="14">
        <v>0.25</v>
      </c>
      <c r="L253" s="19">
        <f t="shared" si="41"/>
        <v>0</v>
      </c>
      <c r="M253" s="19">
        <f>AVERAGE(W253:Z253)</f>
        <v>14</v>
      </c>
      <c r="N253" s="19">
        <f>AVERAGE(AA253:AB253)</f>
        <v>13</v>
      </c>
      <c r="O253" s="19">
        <v>80</v>
      </c>
      <c r="P253" s="19">
        <v>10</v>
      </c>
      <c r="Q253" s="19">
        <v>18</v>
      </c>
      <c r="R253" s="19">
        <v>0</v>
      </c>
      <c r="S253" s="59" t="s">
        <v>37</v>
      </c>
      <c r="T253" s="57" t="s">
        <v>620</v>
      </c>
      <c r="U253" s="57" t="s">
        <v>621</v>
      </c>
      <c r="W253" s="14">
        <v>13</v>
      </c>
      <c r="X253" s="14">
        <v>14</v>
      </c>
      <c r="Y253" s="14">
        <v>14</v>
      </c>
      <c r="Z253" s="14">
        <v>15</v>
      </c>
      <c r="AA253" s="14">
        <v>17</v>
      </c>
      <c r="AB253" s="14">
        <v>9</v>
      </c>
      <c r="AF253" s="41" t="s">
        <v>37</v>
      </c>
      <c r="AH253" s="57" t="s">
        <v>577</v>
      </c>
      <c r="AK253" s="42">
        <v>44747</v>
      </c>
    </row>
    <row r="254" spans="1:38" x14ac:dyDescent="0.25">
      <c r="A254" s="40" t="s">
        <v>26</v>
      </c>
      <c r="B254" s="40" t="s">
        <v>208</v>
      </c>
      <c r="C254" s="34">
        <v>2024</v>
      </c>
      <c r="D254" s="15">
        <v>0</v>
      </c>
      <c r="E254" s="30" t="s">
        <v>138</v>
      </c>
      <c r="F254" s="30">
        <v>25</v>
      </c>
      <c r="G254" s="14">
        <f t="shared" si="40"/>
        <v>0</v>
      </c>
      <c r="H254" s="19">
        <v>0</v>
      </c>
      <c r="I254" s="19">
        <v>0</v>
      </c>
      <c r="J254" s="24" t="s">
        <v>37</v>
      </c>
      <c r="K254" s="14">
        <v>0.25</v>
      </c>
      <c r="L254" s="19">
        <f t="shared" si="41"/>
        <v>0</v>
      </c>
      <c r="M254" s="19">
        <f>AVERAGE(X254:Z254)</f>
        <v>13.666666666666666</v>
      </c>
      <c r="O254" s="19">
        <v>82</v>
      </c>
      <c r="P254" s="19">
        <v>6</v>
      </c>
      <c r="Q254" s="19">
        <v>16</v>
      </c>
      <c r="W254" s="14">
        <v>15</v>
      </c>
      <c r="X254" s="14">
        <v>15</v>
      </c>
      <c r="Y254" s="14">
        <v>14</v>
      </c>
      <c r="Z254" s="14">
        <v>12</v>
      </c>
    </row>
    <row r="255" spans="1:38" x14ac:dyDescent="0.25">
      <c r="A255" s="27" t="s">
        <v>26</v>
      </c>
      <c r="B255" s="27" t="s">
        <v>211</v>
      </c>
      <c r="C255" s="34">
        <v>2021</v>
      </c>
      <c r="D255" s="34">
        <v>0</v>
      </c>
      <c r="E255" s="30" t="s">
        <v>138</v>
      </c>
      <c r="F255" s="30">
        <v>35</v>
      </c>
      <c r="G255" s="30">
        <f t="shared" si="40"/>
        <v>0</v>
      </c>
      <c r="H255" s="27">
        <v>0</v>
      </c>
      <c r="I255" s="27">
        <v>0</v>
      </c>
      <c r="J255" s="24" t="s">
        <v>37</v>
      </c>
      <c r="K255" s="30">
        <v>0.25</v>
      </c>
      <c r="L255" s="27">
        <f t="shared" si="41"/>
        <v>0</v>
      </c>
      <c r="M255" s="27">
        <f>AVERAGE(W255:Z255)</f>
        <v>5.75</v>
      </c>
      <c r="N255" s="27"/>
      <c r="O255" s="27">
        <v>40</v>
      </c>
      <c r="P255" s="27">
        <v>15</v>
      </c>
      <c r="Q255" s="27">
        <v>10</v>
      </c>
      <c r="R255" s="27">
        <v>12</v>
      </c>
      <c r="S255" s="27" t="s">
        <v>212</v>
      </c>
      <c r="T255" s="30"/>
      <c r="U255" s="30"/>
      <c r="V255" s="30" t="s">
        <v>194</v>
      </c>
      <c r="W255" s="30">
        <v>9</v>
      </c>
      <c r="X255" s="30">
        <v>4</v>
      </c>
      <c r="Y255" s="30">
        <v>7</v>
      </c>
      <c r="Z255" s="30">
        <v>3</v>
      </c>
      <c r="AA255" s="30"/>
      <c r="AB255" s="30"/>
      <c r="AD255" s="30" t="s">
        <v>210</v>
      </c>
      <c r="AE255" s="30" t="s">
        <v>37</v>
      </c>
      <c r="AF255" s="30" t="s">
        <v>37</v>
      </c>
      <c r="AG255" s="30" t="s">
        <v>37</v>
      </c>
      <c r="AH255" s="30">
        <v>1</v>
      </c>
      <c r="AI255" s="30">
        <v>2</v>
      </c>
      <c r="AJ255" s="30">
        <v>0</v>
      </c>
      <c r="AK255" s="32">
        <v>44379</v>
      </c>
      <c r="AL255" s="30"/>
    </row>
    <row r="256" spans="1:38" x14ac:dyDescent="0.25">
      <c r="A256" s="40" t="s">
        <v>26</v>
      </c>
      <c r="B256" s="40" t="s">
        <v>211</v>
      </c>
      <c r="C256" s="15">
        <v>2022</v>
      </c>
      <c r="D256" s="15">
        <v>0</v>
      </c>
      <c r="E256" s="30" t="s">
        <v>138</v>
      </c>
      <c r="F256" s="30">
        <v>35</v>
      </c>
      <c r="G256" s="14">
        <f t="shared" si="40"/>
        <v>0</v>
      </c>
      <c r="H256" s="19">
        <v>0</v>
      </c>
      <c r="I256" s="19">
        <v>0</v>
      </c>
      <c r="J256" s="24" t="s">
        <v>37</v>
      </c>
      <c r="K256" s="14">
        <v>0.25</v>
      </c>
      <c r="L256" s="19">
        <f t="shared" si="41"/>
        <v>0</v>
      </c>
      <c r="M256" s="19">
        <f>AVERAGE(W256:Z256)</f>
        <v>9.5</v>
      </c>
      <c r="O256" s="19">
        <v>45</v>
      </c>
      <c r="P256" s="19">
        <v>20</v>
      </c>
      <c r="Q256" s="19">
        <v>30</v>
      </c>
      <c r="R256" s="19">
        <v>10</v>
      </c>
      <c r="S256" s="40" t="s">
        <v>212</v>
      </c>
      <c r="T256" s="41" t="s">
        <v>506</v>
      </c>
      <c r="U256" s="14">
        <v>1</v>
      </c>
      <c r="W256" s="14">
        <v>10</v>
      </c>
      <c r="X256" s="14">
        <v>8</v>
      </c>
      <c r="Y256" s="14">
        <v>3</v>
      </c>
      <c r="Z256" s="14">
        <v>17</v>
      </c>
      <c r="AF256" s="41" t="s">
        <v>37</v>
      </c>
      <c r="AK256" s="42">
        <v>44747</v>
      </c>
    </row>
    <row r="257" spans="1:38" x14ac:dyDescent="0.25">
      <c r="A257" s="40" t="s">
        <v>26</v>
      </c>
      <c r="B257" s="40" t="s">
        <v>211</v>
      </c>
      <c r="C257" s="34">
        <v>2023</v>
      </c>
      <c r="D257" s="15">
        <v>0</v>
      </c>
      <c r="E257" s="30" t="s">
        <v>138</v>
      </c>
      <c r="F257" s="30">
        <v>35</v>
      </c>
      <c r="G257" s="14">
        <f t="shared" si="40"/>
        <v>0</v>
      </c>
      <c r="H257" s="19">
        <v>0</v>
      </c>
      <c r="I257" s="19">
        <v>0</v>
      </c>
      <c r="J257" s="24" t="s">
        <v>37</v>
      </c>
      <c r="K257" s="14">
        <v>0.25</v>
      </c>
      <c r="L257" s="19">
        <f t="shared" si="41"/>
        <v>0</v>
      </c>
      <c r="M257" s="19">
        <f>AVERAGE(W257:Z257)</f>
        <v>7.75</v>
      </c>
      <c r="N257" s="19">
        <f>AVERAGE(AA257:AB257)</f>
        <v>7</v>
      </c>
      <c r="O257" s="19">
        <v>50</v>
      </c>
      <c r="P257" s="19">
        <v>40</v>
      </c>
      <c r="Q257" s="19">
        <v>3</v>
      </c>
      <c r="R257" s="19">
        <v>22</v>
      </c>
      <c r="S257" s="59" t="s">
        <v>613</v>
      </c>
      <c r="T257" s="57" t="s">
        <v>614</v>
      </c>
      <c r="U257" s="57" t="s">
        <v>571</v>
      </c>
      <c r="W257" s="14">
        <v>4</v>
      </c>
      <c r="X257" s="14">
        <v>8</v>
      </c>
      <c r="Y257" s="14">
        <v>15</v>
      </c>
      <c r="Z257" s="14">
        <v>4</v>
      </c>
      <c r="AA257" s="14">
        <v>5</v>
      </c>
      <c r="AB257" s="14">
        <v>9</v>
      </c>
      <c r="AF257" s="41" t="s">
        <v>37</v>
      </c>
      <c r="AH257" s="57" t="s">
        <v>520</v>
      </c>
      <c r="AK257" s="42">
        <v>44747</v>
      </c>
    </row>
    <row r="258" spans="1:38" x14ac:dyDescent="0.25">
      <c r="A258" s="40" t="s">
        <v>26</v>
      </c>
      <c r="B258" s="40" t="s">
        <v>211</v>
      </c>
      <c r="C258" s="34">
        <v>2024</v>
      </c>
      <c r="D258" s="15">
        <v>0</v>
      </c>
      <c r="E258" s="30" t="s">
        <v>138</v>
      </c>
      <c r="F258" s="30">
        <v>35</v>
      </c>
      <c r="G258" s="14">
        <f t="shared" si="40"/>
        <v>0</v>
      </c>
      <c r="H258" s="19">
        <v>0</v>
      </c>
      <c r="I258" s="19">
        <v>0</v>
      </c>
      <c r="J258" s="24" t="s">
        <v>37</v>
      </c>
      <c r="K258" s="14">
        <v>0.25</v>
      </c>
      <c r="L258" s="19">
        <f t="shared" si="41"/>
        <v>0</v>
      </c>
      <c r="M258" s="19">
        <f>AVERAGE(X258:Z258)</f>
        <v>7.666666666666667</v>
      </c>
      <c r="O258" s="19">
        <v>60</v>
      </c>
      <c r="P258" s="19">
        <v>50</v>
      </c>
      <c r="Q258" s="19">
        <v>5</v>
      </c>
      <c r="W258" s="14">
        <v>2</v>
      </c>
      <c r="X258" s="14">
        <v>4</v>
      </c>
      <c r="Y258" s="14">
        <v>9</v>
      </c>
      <c r="Z258" s="14">
        <v>10</v>
      </c>
    </row>
    <row r="259" spans="1:38" x14ac:dyDescent="0.25">
      <c r="A259" s="27" t="s">
        <v>26</v>
      </c>
      <c r="B259" s="27" t="s">
        <v>214</v>
      </c>
      <c r="C259" s="34">
        <v>2021</v>
      </c>
      <c r="D259" s="34">
        <v>0</v>
      </c>
      <c r="E259" s="30" t="s">
        <v>138</v>
      </c>
      <c r="F259" s="30">
        <v>45</v>
      </c>
      <c r="G259" s="30">
        <f t="shared" si="40"/>
        <v>0</v>
      </c>
      <c r="H259" s="27">
        <v>0</v>
      </c>
      <c r="I259" s="27">
        <v>0</v>
      </c>
      <c r="J259" s="24" t="s">
        <v>37</v>
      </c>
      <c r="K259" s="30">
        <v>0.25</v>
      </c>
      <c r="L259" s="27">
        <f t="shared" si="41"/>
        <v>0</v>
      </c>
      <c r="M259" s="27">
        <f>AVERAGE(W259:Z259)</f>
        <v>6.75</v>
      </c>
      <c r="N259" s="27"/>
      <c r="O259" s="27">
        <v>50</v>
      </c>
      <c r="P259" s="27">
        <v>30</v>
      </c>
      <c r="Q259" s="27">
        <v>20</v>
      </c>
      <c r="R259" s="27">
        <f>5+2</f>
        <v>7</v>
      </c>
      <c r="S259" s="27" t="s">
        <v>215</v>
      </c>
      <c r="T259" s="30"/>
      <c r="U259" s="30"/>
      <c r="V259" s="30" t="s">
        <v>194</v>
      </c>
      <c r="W259" s="30">
        <v>9</v>
      </c>
      <c r="X259" s="30">
        <v>2</v>
      </c>
      <c r="Y259" s="30">
        <v>7</v>
      </c>
      <c r="Z259" s="30">
        <v>9</v>
      </c>
      <c r="AA259" s="30"/>
      <c r="AB259" s="30"/>
      <c r="AD259" s="30" t="s">
        <v>213</v>
      </c>
      <c r="AE259" s="30" t="s">
        <v>37</v>
      </c>
      <c r="AF259" s="30" t="s">
        <v>37</v>
      </c>
      <c r="AG259" s="30" t="s">
        <v>37</v>
      </c>
      <c r="AH259" s="30">
        <v>1</v>
      </c>
      <c r="AI259" s="30">
        <v>2</v>
      </c>
      <c r="AJ259" s="30">
        <v>0</v>
      </c>
      <c r="AK259" s="32">
        <v>44379</v>
      </c>
      <c r="AL259" s="30"/>
    </row>
    <row r="260" spans="1:38" x14ac:dyDescent="0.25">
      <c r="A260" s="40" t="s">
        <v>26</v>
      </c>
      <c r="B260" s="40" t="s">
        <v>214</v>
      </c>
      <c r="C260" s="15">
        <v>2022</v>
      </c>
      <c r="D260" s="15">
        <v>0</v>
      </c>
      <c r="E260" s="30" t="s">
        <v>138</v>
      </c>
      <c r="F260" s="30">
        <v>45</v>
      </c>
      <c r="G260" s="14">
        <f t="shared" si="40"/>
        <v>0</v>
      </c>
      <c r="H260" s="19">
        <v>0</v>
      </c>
      <c r="I260" s="19">
        <v>0</v>
      </c>
      <c r="J260" s="24" t="s">
        <v>37</v>
      </c>
      <c r="K260" s="14">
        <v>0.25</v>
      </c>
      <c r="L260" s="19">
        <f t="shared" si="41"/>
        <v>0</v>
      </c>
      <c r="M260" s="19">
        <f>AVERAGE(W260:Z260)</f>
        <v>5.25</v>
      </c>
      <c r="O260" s="19">
        <v>38</v>
      </c>
      <c r="P260" s="19">
        <v>25</v>
      </c>
      <c r="Q260" s="19">
        <v>30</v>
      </c>
      <c r="R260" s="19">
        <v>10</v>
      </c>
      <c r="S260" s="40" t="s">
        <v>517</v>
      </c>
      <c r="T260" s="41" t="s">
        <v>506</v>
      </c>
      <c r="U260" s="14">
        <v>1</v>
      </c>
      <c r="W260" s="14">
        <v>2</v>
      </c>
      <c r="X260" s="14">
        <v>9</v>
      </c>
      <c r="Y260" s="14">
        <v>4</v>
      </c>
      <c r="Z260" s="14">
        <v>6</v>
      </c>
      <c r="AF260" s="41" t="s">
        <v>37</v>
      </c>
      <c r="AK260" s="42">
        <v>44747</v>
      </c>
    </row>
    <row r="261" spans="1:38" x14ac:dyDescent="0.25">
      <c r="A261" s="40" t="s">
        <v>26</v>
      </c>
      <c r="B261" s="40" t="s">
        <v>214</v>
      </c>
      <c r="C261" s="34">
        <v>2023</v>
      </c>
      <c r="D261" s="15">
        <v>0</v>
      </c>
      <c r="E261" s="30" t="s">
        <v>138</v>
      </c>
      <c r="F261" s="30">
        <v>45</v>
      </c>
      <c r="G261" s="14">
        <f t="shared" si="40"/>
        <v>0</v>
      </c>
      <c r="H261" s="19">
        <v>0</v>
      </c>
      <c r="I261" s="19">
        <v>0</v>
      </c>
      <c r="J261" s="24" t="s">
        <v>37</v>
      </c>
      <c r="K261" s="14">
        <v>0.25</v>
      </c>
      <c r="L261" s="19">
        <f t="shared" si="41"/>
        <v>0</v>
      </c>
      <c r="M261" s="19">
        <f>AVERAGE(W261:Z261)</f>
        <v>5.25</v>
      </c>
      <c r="N261" s="19">
        <f>AVERAGE(AA261:AB261)</f>
        <v>8.5</v>
      </c>
      <c r="O261" s="19">
        <v>40</v>
      </c>
      <c r="P261" s="19">
        <v>75</v>
      </c>
      <c r="Q261" s="19">
        <v>25</v>
      </c>
      <c r="R261" s="59" t="s">
        <v>616</v>
      </c>
      <c r="S261" s="59" t="s">
        <v>517</v>
      </c>
      <c r="T261" s="57" t="s">
        <v>37</v>
      </c>
      <c r="U261" s="57">
        <v>0</v>
      </c>
      <c r="V261" s="57" t="s">
        <v>617</v>
      </c>
      <c r="W261" s="14">
        <v>7</v>
      </c>
      <c r="X261" s="14">
        <v>2</v>
      </c>
      <c r="Y261" s="14">
        <v>6</v>
      </c>
      <c r="Z261" s="14">
        <v>6</v>
      </c>
      <c r="AA261" s="14">
        <v>10</v>
      </c>
      <c r="AB261" s="14">
        <v>7</v>
      </c>
      <c r="AF261" s="41" t="s">
        <v>37</v>
      </c>
      <c r="AH261" s="57" t="s">
        <v>520</v>
      </c>
      <c r="AK261" s="42">
        <v>44747</v>
      </c>
    </row>
    <row r="262" spans="1:38" x14ac:dyDescent="0.25">
      <c r="A262" s="40" t="s">
        <v>26</v>
      </c>
      <c r="B262" s="40" t="s">
        <v>214</v>
      </c>
      <c r="C262" s="34">
        <v>2024</v>
      </c>
      <c r="D262" s="15">
        <v>0</v>
      </c>
      <c r="E262" s="30" t="s">
        <v>138</v>
      </c>
      <c r="F262" s="30">
        <v>45</v>
      </c>
      <c r="G262" s="14">
        <f t="shared" si="40"/>
        <v>0</v>
      </c>
      <c r="H262" s="19">
        <v>0</v>
      </c>
      <c r="I262" s="19">
        <v>0</v>
      </c>
      <c r="J262" s="24" t="s">
        <v>37</v>
      </c>
      <c r="K262" s="14">
        <v>0.25</v>
      </c>
      <c r="L262" s="19">
        <f t="shared" si="41"/>
        <v>0</v>
      </c>
      <c r="M262" s="19">
        <f>AVERAGE(X262:Z262)</f>
        <v>7.666666666666667</v>
      </c>
      <c r="O262" s="19">
        <v>75</v>
      </c>
      <c r="P262" s="19">
        <v>25</v>
      </c>
      <c r="Q262" s="19">
        <v>4</v>
      </c>
      <c r="W262" s="14">
        <v>4</v>
      </c>
      <c r="X262" s="14">
        <v>6</v>
      </c>
      <c r="Y262" s="14">
        <v>9</v>
      </c>
      <c r="Z262" s="14">
        <v>8</v>
      </c>
    </row>
    <row r="263" spans="1:38" x14ac:dyDescent="0.25">
      <c r="A263" s="27" t="s">
        <v>26</v>
      </c>
      <c r="B263" s="27" t="s">
        <v>217</v>
      </c>
      <c r="C263" s="34">
        <v>2021</v>
      </c>
      <c r="D263" s="34">
        <v>0</v>
      </c>
      <c r="E263" s="30" t="s">
        <v>132</v>
      </c>
      <c r="F263" s="30">
        <v>13</v>
      </c>
      <c r="G263" s="30">
        <f t="shared" si="40"/>
        <v>10</v>
      </c>
      <c r="H263" s="27">
        <v>0</v>
      </c>
      <c r="I263" s="27">
        <v>10</v>
      </c>
      <c r="J263" s="24">
        <f>H263/G263</f>
        <v>0</v>
      </c>
      <c r="K263" s="30">
        <v>0.25</v>
      </c>
      <c r="L263" s="27">
        <f t="shared" si="41"/>
        <v>10</v>
      </c>
      <c r="M263" s="27">
        <f>AVERAGE(W263:Z263)</f>
        <v>24.5</v>
      </c>
      <c r="N263" s="27"/>
      <c r="O263" s="27">
        <v>100</v>
      </c>
      <c r="P263" s="27">
        <v>12</v>
      </c>
      <c r="Q263" s="27">
        <v>2</v>
      </c>
      <c r="R263" s="27">
        <f>15+3+5</f>
        <v>23</v>
      </c>
      <c r="S263" s="27" t="s">
        <v>218</v>
      </c>
      <c r="T263" s="30" t="s">
        <v>183</v>
      </c>
      <c r="U263" s="30">
        <v>3</v>
      </c>
      <c r="V263" s="30" t="s">
        <v>219</v>
      </c>
      <c r="W263" s="30">
        <v>31</v>
      </c>
      <c r="X263" s="30">
        <v>23</v>
      </c>
      <c r="Y263" s="30">
        <v>29</v>
      </c>
      <c r="Z263" s="30">
        <v>15</v>
      </c>
      <c r="AA263" s="30"/>
      <c r="AB263" s="30"/>
      <c r="AD263" s="30" t="s">
        <v>216</v>
      </c>
      <c r="AE263" s="30" t="s">
        <v>37</v>
      </c>
      <c r="AF263" s="30" t="s">
        <v>37</v>
      </c>
      <c r="AG263" s="30" t="s">
        <v>37</v>
      </c>
      <c r="AH263" s="30">
        <v>1</v>
      </c>
      <c r="AI263" s="30">
        <v>2</v>
      </c>
      <c r="AJ263" s="30">
        <v>0</v>
      </c>
      <c r="AK263" s="32">
        <v>44379</v>
      </c>
      <c r="AL263" s="30"/>
    </row>
    <row r="264" spans="1:38" x14ac:dyDescent="0.25">
      <c r="A264" s="40" t="s">
        <v>26</v>
      </c>
      <c r="B264" s="40" t="s">
        <v>217</v>
      </c>
      <c r="C264" s="15">
        <v>2022</v>
      </c>
      <c r="D264" s="15">
        <v>0</v>
      </c>
      <c r="E264" s="30" t="s">
        <v>132</v>
      </c>
      <c r="F264" s="30">
        <v>13</v>
      </c>
      <c r="G264" s="14">
        <f t="shared" si="40"/>
        <v>9</v>
      </c>
      <c r="H264" s="19">
        <v>4</v>
      </c>
      <c r="I264" s="19">
        <v>5</v>
      </c>
      <c r="J264" s="24">
        <f>H264/G264</f>
        <v>0.44444444444444442</v>
      </c>
      <c r="K264" s="14">
        <v>0.25</v>
      </c>
      <c r="L264" s="19">
        <f t="shared" si="41"/>
        <v>9</v>
      </c>
      <c r="M264" s="19">
        <f>AVERAGE(W264:Z264)</f>
        <v>28.75</v>
      </c>
      <c r="O264" s="19">
        <v>96</v>
      </c>
      <c r="P264" s="19">
        <v>1</v>
      </c>
      <c r="Q264" s="40">
        <v>2</v>
      </c>
      <c r="R264" s="19">
        <v>12</v>
      </c>
      <c r="S264" s="40" t="s">
        <v>102</v>
      </c>
      <c r="T264" s="41" t="s">
        <v>509</v>
      </c>
      <c r="U264" s="14">
        <v>19</v>
      </c>
      <c r="V264" s="41" t="s">
        <v>510</v>
      </c>
      <c r="W264" s="14">
        <v>25</v>
      </c>
      <c r="X264" s="14">
        <v>32</v>
      </c>
      <c r="Y264" s="14">
        <v>40</v>
      </c>
      <c r="Z264" s="14">
        <v>18</v>
      </c>
      <c r="AF264" s="41" t="s">
        <v>37</v>
      </c>
      <c r="AK264" s="42">
        <v>44747</v>
      </c>
    </row>
    <row r="265" spans="1:38" x14ac:dyDescent="0.25">
      <c r="A265" s="40" t="s">
        <v>26</v>
      </c>
      <c r="B265" s="40" t="s">
        <v>217</v>
      </c>
      <c r="C265" s="34">
        <v>2023</v>
      </c>
      <c r="D265" s="15">
        <v>0</v>
      </c>
      <c r="E265" s="30" t="s">
        <v>132</v>
      </c>
      <c r="F265" s="30">
        <v>13</v>
      </c>
      <c r="G265" s="14">
        <f t="shared" si="40"/>
        <v>14</v>
      </c>
      <c r="H265" s="19">
        <v>3</v>
      </c>
      <c r="I265" s="19">
        <v>11</v>
      </c>
      <c r="J265" s="24">
        <f>H265/G265</f>
        <v>0.21428571428571427</v>
      </c>
      <c r="K265" s="14">
        <v>0.25</v>
      </c>
      <c r="L265" s="19">
        <f t="shared" si="41"/>
        <v>14</v>
      </c>
      <c r="M265" s="19">
        <f>AVERAGE(W265:Z265)</f>
        <v>18.25</v>
      </c>
      <c r="N265" s="19">
        <f>AVERAGE(AA265:AB265)</f>
        <v>24</v>
      </c>
      <c r="O265" s="19">
        <v>95</v>
      </c>
      <c r="P265" s="19">
        <v>1</v>
      </c>
      <c r="Q265" s="40">
        <v>5</v>
      </c>
      <c r="R265" s="19">
        <v>12</v>
      </c>
      <c r="S265" s="59" t="s">
        <v>541</v>
      </c>
      <c r="T265" s="57" t="s">
        <v>632</v>
      </c>
      <c r="U265" s="57" t="s">
        <v>633</v>
      </c>
      <c r="V265" s="41"/>
      <c r="W265" s="14">
        <v>10</v>
      </c>
      <c r="X265" s="14">
        <v>20</v>
      </c>
      <c r="Y265" s="14">
        <v>24</v>
      </c>
      <c r="Z265" s="14">
        <v>19</v>
      </c>
      <c r="AA265" s="14">
        <v>25</v>
      </c>
      <c r="AB265" s="14">
        <v>23</v>
      </c>
      <c r="AF265" s="41" t="s">
        <v>37</v>
      </c>
      <c r="AH265" s="57" t="s">
        <v>577</v>
      </c>
      <c r="AK265" s="42">
        <v>44747</v>
      </c>
    </row>
    <row r="266" spans="1:38" x14ac:dyDescent="0.25">
      <c r="A266" s="40" t="s">
        <v>26</v>
      </c>
      <c r="B266" s="40" t="s">
        <v>217</v>
      </c>
      <c r="C266" s="34">
        <v>2024</v>
      </c>
      <c r="D266" s="15">
        <v>0</v>
      </c>
      <c r="E266" s="30" t="s">
        <v>132</v>
      </c>
      <c r="F266" s="30">
        <v>13</v>
      </c>
      <c r="G266" s="14">
        <f t="shared" si="40"/>
        <v>10</v>
      </c>
      <c r="H266" s="19">
        <v>0</v>
      </c>
      <c r="I266" s="19">
        <v>10</v>
      </c>
      <c r="J266" s="24">
        <f>H266/G266</f>
        <v>0</v>
      </c>
      <c r="K266" s="14">
        <v>0.25</v>
      </c>
      <c r="L266" s="19">
        <f t="shared" si="41"/>
        <v>10</v>
      </c>
      <c r="M266" s="19">
        <f>AVERAGE(X266:Z266)</f>
        <v>20</v>
      </c>
      <c r="O266" s="19">
        <v>99</v>
      </c>
      <c r="P266" s="19">
        <v>1</v>
      </c>
      <c r="Q266" s="19">
        <v>1</v>
      </c>
      <c r="W266" s="14">
        <v>25</v>
      </c>
      <c r="X266" s="14">
        <v>14</v>
      </c>
      <c r="Y266" s="14">
        <v>26</v>
      </c>
      <c r="Z266" s="14">
        <v>20</v>
      </c>
    </row>
    <row r="267" spans="1:38" x14ac:dyDescent="0.25">
      <c r="A267" s="27" t="s">
        <v>26</v>
      </c>
      <c r="B267" s="27" t="s">
        <v>221</v>
      </c>
      <c r="C267" s="34">
        <v>2021</v>
      </c>
      <c r="D267" s="34">
        <v>0</v>
      </c>
      <c r="E267" s="30" t="s">
        <v>132</v>
      </c>
      <c r="F267" s="30">
        <v>23</v>
      </c>
      <c r="G267" s="30">
        <f t="shared" si="40"/>
        <v>0</v>
      </c>
      <c r="H267" s="27">
        <v>0</v>
      </c>
      <c r="I267" s="27">
        <v>0</v>
      </c>
      <c r="J267" s="24" t="s">
        <v>37</v>
      </c>
      <c r="K267" s="30">
        <v>0.25</v>
      </c>
      <c r="L267" s="27">
        <f t="shared" si="41"/>
        <v>0</v>
      </c>
      <c r="M267" s="27">
        <f>AVERAGE(W267:Z267)</f>
        <v>59.5</v>
      </c>
      <c r="N267" s="27"/>
      <c r="O267" s="27">
        <v>100</v>
      </c>
      <c r="P267" s="27">
        <v>2</v>
      </c>
      <c r="Q267" s="27">
        <v>0</v>
      </c>
      <c r="R267" s="27">
        <f>25+15+25</f>
        <v>65</v>
      </c>
      <c r="S267" s="27" t="s">
        <v>218</v>
      </c>
      <c r="T267" s="30" t="s">
        <v>183</v>
      </c>
      <c r="U267" s="30">
        <v>15</v>
      </c>
      <c r="V267" s="30"/>
      <c r="W267" s="30">
        <v>54</v>
      </c>
      <c r="X267" s="30">
        <v>50</v>
      </c>
      <c r="Y267" s="30">
        <v>58</v>
      </c>
      <c r="Z267" s="30">
        <v>76</v>
      </c>
      <c r="AA267" s="30"/>
      <c r="AB267" s="30"/>
      <c r="AD267" s="30" t="s">
        <v>220</v>
      </c>
      <c r="AE267" s="30" t="s">
        <v>37</v>
      </c>
      <c r="AF267" s="30" t="s">
        <v>37</v>
      </c>
      <c r="AG267" s="30" t="s">
        <v>37</v>
      </c>
      <c r="AH267" s="30">
        <v>1</v>
      </c>
      <c r="AI267" s="30">
        <v>2</v>
      </c>
      <c r="AJ267" s="30">
        <v>0</v>
      </c>
      <c r="AK267" s="32">
        <v>44379</v>
      </c>
      <c r="AL267" s="30"/>
    </row>
    <row r="268" spans="1:38" x14ac:dyDescent="0.25">
      <c r="A268" s="40" t="s">
        <v>26</v>
      </c>
      <c r="B268" s="40" t="s">
        <v>221</v>
      </c>
      <c r="C268" s="34">
        <v>2022</v>
      </c>
      <c r="D268" s="34">
        <v>0</v>
      </c>
      <c r="E268" s="30" t="s">
        <v>132</v>
      </c>
      <c r="F268" s="30">
        <v>23</v>
      </c>
      <c r="G268" s="30">
        <f t="shared" si="40"/>
        <v>0</v>
      </c>
      <c r="H268" s="27">
        <v>0</v>
      </c>
      <c r="I268" s="27">
        <v>0</v>
      </c>
      <c r="J268" s="24" t="s">
        <v>37</v>
      </c>
      <c r="K268" s="30">
        <v>0.25</v>
      </c>
      <c r="L268" s="27">
        <f t="shared" si="41"/>
        <v>0</v>
      </c>
      <c r="M268" s="27">
        <f>AVERAGE(W268:Z268)</f>
        <v>35.75</v>
      </c>
      <c r="N268" s="27"/>
      <c r="O268" s="27">
        <v>100</v>
      </c>
      <c r="P268" s="27">
        <v>0</v>
      </c>
      <c r="Q268" s="27">
        <v>6</v>
      </c>
      <c r="R268" s="27">
        <v>30</v>
      </c>
      <c r="S268" s="40" t="s">
        <v>102</v>
      </c>
      <c r="T268" s="41" t="s">
        <v>504</v>
      </c>
      <c r="U268" s="30">
        <v>9</v>
      </c>
      <c r="V268" s="30"/>
      <c r="W268" s="30">
        <v>26</v>
      </c>
      <c r="X268" s="30">
        <v>40</v>
      </c>
      <c r="Y268" s="30">
        <v>45</v>
      </c>
      <c r="Z268" s="30">
        <v>32</v>
      </c>
      <c r="AA268" s="30"/>
      <c r="AB268" s="30"/>
      <c r="AD268" s="30"/>
      <c r="AE268" s="30"/>
      <c r="AF268" s="41" t="s">
        <v>37</v>
      </c>
      <c r="AG268" s="30"/>
      <c r="AH268" s="30"/>
      <c r="AI268" s="30"/>
      <c r="AJ268" s="30"/>
      <c r="AK268" s="32">
        <v>44747</v>
      </c>
      <c r="AL268" s="30"/>
    </row>
    <row r="269" spans="1:38" x14ac:dyDescent="0.25">
      <c r="A269" s="40" t="s">
        <v>26</v>
      </c>
      <c r="B269" s="40" t="s">
        <v>221</v>
      </c>
      <c r="C269" s="34">
        <v>2023</v>
      </c>
      <c r="D269" s="34">
        <v>0</v>
      </c>
      <c r="E269" s="30" t="s">
        <v>132</v>
      </c>
      <c r="F269" s="30">
        <v>23</v>
      </c>
      <c r="G269" s="30">
        <f t="shared" si="40"/>
        <v>0</v>
      </c>
      <c r="H269" s="27">
        <v>0</v>
      </c>
      <c r="I269" s="27">
        <v>0</v>
      </c>
      <c r="J269" s="24" t="s">
        <v>37</v>
      </c>
      <c r="K269" s="30">
        <v>0.25</v>
      </c>
      <c r="L269" s="27">
        <f t="shared" si="41"/>
        <v>0</v>
      </c>
      <c r="M269" s="27">
        <f>AVERAGE(W269:Z269)</f>
        <v>23.25</v>
      </c>
      <c r="N269" s="19">
        <f>AVERAGE(AA269:AB269)</f>
        <v>15.5</v>
      </c>
      <c r="O269" s="27">
        <v>90</v>
      </c>
      <c r="P269" s="27">
        <v>1</v>
      </c>
      <c r="Q269" s="27">
        <v>7</v>
      </c>
      <c r="R269" s="59" t="s">
        <v>630</v>
      </c>
      <c r="S269" s="59" t="s">
        <v>592</v>
      </c>
      <c r="T269" s="57" t="s">
        <v>624</v>
      </c>
      <c r="U269" s="57" t="s">
        <v>631</v>
      </c>
      <c r="V269" s="57" t="s">
        <v>626</v>
      </c>
      <c r="W269" s="30">
        <v>24</v>
      </c>
      <c r="X269" s="30">
        <v>22</v>
      </c>
      <c r="Y269" s="30">
        <v>21</v>
      </c>
      <c r="Z269" s="30">
        <v>26</v>
      </c>
      <c r="AA269" s="30">
        <v>16</v>
      </c>
      <c r="AB269" s="30">
        <v>15</v>
      </c>
      <c r="AD269" s="30"/>
      <c r="AE269" s="30"/>
      <c r="AF269" s="41" t="s">
        <v>37</v>
      </c>
      <c r="AG269" s="30"/>
      <c r="AH269" s="57" t="s">
        <v>577</v>
      </c>
      <c r="AI269" s="30"/>
      <c r="AJ269" s="30"/>
      <c r="AK269" s="32">
        <v>44747</v>
      </c>
      <c r="AL269" s="30"/>
    </row>
    <row r="270" spans="1:38" x14ac:dyDescent="0.25">
      <c r="A270" s="40" t="s">
        <v>26</v>
      </c>
      <c r="B270" s="40" t="s">
        <v>221</v>
      </c>
      <c r="C270" s="34">
        <v>2024</v>
      </c>
      <c r="D270" s="34">
        <v>0</v>
      </c>
      <c r="E270" s="30" t="s">
        <v>132</v>
      </c>
      <c r="F270" s="30">
        <v>23</v>
      </c>
      <c r="G270" s="14">
        <f t="shared" si="40"/>
        <v>0</v>
      </c>
      <c r="H270" s="19">
        <v>0</v>
      </c>
      <c r="I270" s="19">
        <v>0</v>
      </c>
      <c r="J270" s="24" t="s">
        <v>37</v>
      </c>
      <c r="K270" s="14">
        <v>0.25</v>
      </c>
      <c r="L270" s="19">
        <f t="shared" si="41"/>
        <v>0</v>
      </c>
      <c r="M270" s="19">
        <f>AVERAGE(X270:Z270)</f>
        <v>30</v>
      </c>
      <c r="O270" s="19">
        <v>95</v>
      </c>
      <c r="P270" s="19">
        <v>1</v>
      </c>
      <c r="Q270" s="19">
        <v>2</v>
      </c>
      <c r="W270" s="14">
        <v>34</v>
      </c>
      <c r="X270" s="14">
        <v>35</v>
      </c>
      <c r="Y270" s="14">
        <v>28</v>
      </c>
      <c r="Z270" s="14">
        <v>27</v>
      </c>
    </row>
    <row r="271" spans="1:38" x14ac:dyDescent="0.25">
      <c r="A271" s="27" t="s">
        <v>26</v>
      </c>
      <c r="B271" s="27" t="s">
        <v>223</v>
      </c>
      <c r="C271" s="34">
        <v>2021</v>
      </c>
      <c r="D271" s="34">
        <v>0</v>
      </c>
      <c r="E271" s="30" t="s">
        <v>132</v>
      </c>
      <c r="F271" s="30">
        <v>33</v>
      </c>
      <c r="G271" s="30">
        <f t="shared" si="40"/>
        <v>0</v>
      </c>
      <c r="H271" s="27">
        <v>0</v>
      </c>
      <c r="I271" s="27">
        <v>0</v>
      </c>
      <c r="J271" s="24" t="s">
        <v>37</v>
      </c>
      <c r="K271" s="30">
        <v>0.25</v>
      </c>
      <c r="L271" s="27">
        <f t="shared" si="41"/>
        <v>0</v>
      </c>
      <c r="M271" s="27">
        <f>AVERAGE(W271:Z271)</f>
        <v>49.5</v>
      </c>
      <c r="N271" s="27"/>
      <c r="O271" s="27">
        <v>100</v>
      </c>
      <c r="P271" s="27">
        <v>0</v>
      </c>
      <c r="Q271" s="27">
        <v>0</v>
      </c>
      <c r="R271" s="27">
        <f>40+15</f>
        <v>55</v>
      </c>
      <c r="S271" s="27" t="s">
        <v>224</v>
      </c>
      <c r="T271" s="30" t="s">
        <v>183</v>
      </c>
      <c r="U271" s="30">
        <v>15</v>
      </c>
      <c r="V271" s="30"/>
      <c r="W271" s="30">
        <v>55</v>
      </c>
      <c r="X271" s="30">
        <v>40</v>
      </c>
      <c r="Y271" s="30">
        <v>55</v>
      </c>
      <c r="Z271" s="30">
        <v>48</v>
      </c>
      <c r="AA271" s="30"/>
      <c r="AB271" s="30"/>
      <c r="AD271" s="30" t="s">
        <v>222</v>
      </c>
      <c r="AE271" s="30" t="s">
        <v>37</v>
      </c>
      <c r="AF271" s="30" t="s">
        <v>37</v>
      </c>
      <c r="AG271" s="30" t="s">
        <v>37</v>
      </c>
      <c r="AH271" s="30">
        <v>1</v>
      </c>
      <c r="AI271" s="30">
        <v>2</v>
      </c>
      <c r="AJ271" s="30">
        <v>0</v>
      </c>
      <c r="AK271" s="32">
        <v>44379</v>
      </c>
      <c r="AL271" s="30"/>
    </row>
    <row r="272" spans="1:38" x14ac:dyDescent="0.25">
      <c r="A272" s="40" t="s">
        <v>26</v>
      </c>
      <c r="B272" s="40" t="s">
        <v>223</v>
      </c>
      <c r="C272" s="34">
        <v>2022</v>
      </c>
      <c r="D272" s="34">
        <v>0</v>
      </c>
      <c r="E272" s="30" t="s">
        <v>132</v>
      </c>
      <c r="F272" s="30">
        <v>33</v>
      </c>
      <c r="G272" s="30">
        <f t="shared" si="40"/>
        <v>0</v>
      </c>
      <c r="H272" s="27">
        <v>0</v>
      </c>
      <c r="I272" s="27">
        <v>0</v>
      </c>
      <c r="J272" s="24" t="s">
        <v>37</v>
      </c>
      <c r="K272" s="30">
        <v>0.25</v>
      </c>
      <c r="L272" s="27">
        <f t="shared" si="41"/>
        <v>0</v>
      </c>
      <c r="M272" s="27">
        <f>AVERAGE(W272:Z272)</f>
        <v>56</v>
      </c>
      <c r="N272" s="27"/>
      <c r="O272" s="27">
        <v>100</v>
      </c>
      <c r="P272" s="27">
        <v>0</v>
      </c>
      <c r="Q272" s="40">
        <v>1</v>
      </c>
      <c r="R272" s="27">
        <v>18</v>
      </c>
      <c r="S272" s="40" t="s">
        <v>102</v>
      </c>
      <c r="T272" s="41" t="s">
        <v>505</v>
      </c>
      <c r="U272" s="30">
        <v>9</v>
      </c>
      <c r="V272" s="30"/>
      <c r="W272" s="30">
        <v>60</v>
      </c>
      <c r="X272" s="30">
        <v>48</v>
      </c>
      <c r="Y272" s="30">
        <v>62</v>
      </c>
      <c r="Z272" s="30">
        <v>54</v>
      </c>
      <c r="AA272" s="30"/>
      <c r="AB272" s="30"/>
      <c r="AD272" s="30"/>
      <c r="AE272" s="30"/>
      <c r="AF272" s="41" t="s">
        <v>37</v>
      </c>
      <c r="AG272" s="30"/>
      <c r="AH272" s="30"/>
      <c r="AI272" s="30"/>
      <c r="AJ272" s="30"/>
      <c r="AK272" s="32">
        <v>44747</v>
      </c>
      <c r="AL272" s="30"/>
    </row>
    <row r="273" spans="1:38" x14ac:dyDescent="0.25">
      <c r="A273" s="40" t="s">
        <v>26</v>
      </c>
      <c r="B273" s="40" t="s">
        <v>223</v>
      </c>
      <c r="C273" s="34">
        <v>2023</v>
      </c>
      <c r="D273" s="34">
        <v>0</v>
      </c>
      <c r="E273" s="30" t="s">
        <v>132</v>
      </c>
      <c r="F273" s="30">
        <v>33</v>
      </c>
      <c r="G273" s="30">
        <f t="shared" si="40"/>
        <v>0</v>
      </c>
      <c r="H273" s="27">
        <v>0</v>
      </c>
      <c r="I273" s="27">
        <v>0</v>
      </c>
      <c r="J273" s="24" t="s">
        <v>37</v>
      </c>
      <c r="K273" s="30">
        <v>0.25</v>
      </c>
      <c r="L273" s="27">
        <f t="shared" si="41"/>
        <v>0</v>
      </c>
      <c r="M273" s="27">
        <f>AVERAGE(W273:Z273)</f>
        <v>30.25</v>
      </c>
      <c r="N273" s="19">
        <f>AVERAGE(AA273:AB273)</f>
        <v>24.75</v>
      </c>
      <c r="O273" s="27">
        <v>100</v>
      </c>
      <c r="P273" s="27">
        <v>2</v>
      </c>
      <c r="Q273" s="40">
        <v>10</v>
      </c>
      <c r="R273" s="27">
        <v>30</v>
      </c>
      <c r="S273" s="59" t="s">
        <v>541</v>
      </c>
      <c r="T273" s="57" t="s">
        <v>624</v>
      </c>
      <c r="U273" s="57" t="s">
        <v>625</v>
      </c>
      <c r="V273" s="57" t="s">
        <v>626</v>
      </c>
      <c r="W273" s="30">
        <v>33</v>
      </c>
      <c r="X273" s="30">
        <v>31</v>
      </c>
      <c r="Y273" s="30">
        <v>27</v>
      </c>
      <c r="Z273" s="30">
        <v>30</v>
      </c>
      <c r="AA273" s="30">
        <v>22.5</v>
      </c>
      <c r="AB273" s="30">
        <v>27</v>
      </c>
      <c r="AD273" s="30"/>
      <c r="AE273" s="30"/>
      <c r="AF273" s="41" t="s">
        <v>37</v>
      </c>
      <c r="AG273" s="30"/>
      <c r="AH273" s="57" t="s">
        <v>577</v>
      </c>
      <c r="AI273" s="30"/>
      <c r="AJ273" s="30"/>
      <c r="AK273" s="32">
        <v>44747</v>
      </c>
      <c r="AL273" s="30"/>
    </row>
    <row r="274" spans="1:38" x14ac:dyDescent="0.25">
      <c r="A274" s="40" t="s">
        <v>26</v>
      </c>
      <c r="B274" s="40" t="s">
        <v>223</v>
      </c>
      <c r="C274" s="34">
        <v>2024</v>
      </c>
      <c r="D274" s="34">
        <v>0</v>
      </c>
      <c r="E274" s="30" t="s">
        <v>132</v>
      </c>
      <c r="F274" s="30">
        <v>33</v>
      </c>
      <c r="G274" s="14">
        <f t="shared" si="40"/>
        <v>0</v>
      </c>
      <c r="H274" s="19">
        <v>0</v>
      </c>
      <c r="I274" s="19">
        <v>0</v>
      </c>
      <c r="J274" s="24" t="s">
        <v>37</v>
      </c>
      <c r="K274" s="14">
        <v>0.25</v>
      </c>
      <c r="L274" s="19">
        <f t="shared" si="41"/>
        <v>0</v>
      </c>
      <c r="M274" s="19">
        <f>AVERAGE(X274:Z274)</f>
        <v>43.666666666666664</v>
      </c>
      <c r="O274" s="19">
        <v>98</v>
      </c>
      <c r="P274" s="19">
        <v>1</v>
      </c>
      <c r="Q274" s="19">
        <v>2</v>
      </c>
      <c r="W274" s="14">
        <v>26</v>
      </c>
      <c r="X274" s="14">
        <v>48</v>
      </c>
      <c r="Y274" s="14">
        <v>47</v>
      </c>
      <c r="Z274" s="14">
        <v>36</v>
      </c>
    </row>
    <row r="275" spans="1:38" x14ac:dyDescent="0.25">
      <c r="A275" s="27" t="s">
        <v>26</v>
      </c>
      <c r="B275" s="27" t="s">
        <v>226</v>
      </c>
      <c r="C275" s="34">
        <v>2021</v>
      </c>
      <c r="D275" s="34">
        <v>0</v>
      </c>
      <c r="E275" s="30" t="s">
        <v>227</v>
      </c>
      <c r="F275" s="30">
        <v>17</v>
      </c>
      <c r="G275" s="30">
        <f t="shared" si="40"/>
        <v>0</v>
      </c>
      <c r="H275" s="27">
        <v>0</v>
      </c>
      <c r="I275" s="27">
        <v>0</v>
      </c>
      <c r="J275" s="24" t="s">
        <v>37</v>
      </c>
      <c r="K275" s="30">
        <v>0.25</v>
      </c>
      <c r="L275" s="27">
        <f t="shared" si="41"/>
        <v>0</v>
      </c>
      <c r="M275" s="27">
        <f>AVERAGE(W275:Z275)</f>
        <v>28.5</v>
      </c>
      <c r="N275" s="27"/>
      <c r="O275" s="27">
        <v>100</v>
      </c>
      <c r="P275" s="27">
        <v>5</v>
      </c>
      <c r="Q275" s="27">
        <v>0</v>
      </c>
      <c r="R275" s="27">
        <f>15+1</f>
        <v>16</v>
      </c>
      <c r="S275" s="27" t="s">
        <v>224</v>
      </c>
      <c r="T275" s="30" t="s">
        <v>183</v>
      </c>
      <c r="U275" s="30">
        <v>1</v>
      </c>
      <c r="V275" s="30"/>
      <c r="W275" s="30">
        <v>24</v>
      </c>
      <c r="X275" s="30">
        <v>26</v>
      </c>
      <c r="Y275" s="30">
        <v>25</v>
      </c>
      <c r="Z275" s="30">
        <v>39</v>
      </c>
      <c r="AA275" s="30"/>
      <c r="AB275" s="30"/>
      <c r="AD275" s="30" t="s">
        <v>225</v>
      </c>
      <c r="AE275" s="30" t="s">
        <v>37</v>
      </c>
      <c r="AF275" s="30" t="s">
        <v>37</v>
      </c>
      <c r="AG275" s="30" t="s">
        <v>37</v>
      </c>
      <c r="AH275" s="30">
        <v>1</v>
      </c>
      <c r="AI275" s="30">
        <v>2</v>
      </c>
      <c r="AJ275" s="30">
        <v>0</v>
      </c>
      <c r="AK275" s="32">
        <v>44379</v>
      </c>
      <c r="AL275" s="30"/>
    </row>
    <row r="276" spans="1:38" x14ac:dyDescent="0.25">
      <c r="A276" s="40" t="s">
        <v>26</v>
      </c>
      <c r="B276" s="40" t="s">
        <v>226</v>
      </c>
      <c r="C276" s="15">
        <v>2022</v>
      </c>
      <c r="D276" s="15">
        <v>0</v>
      </c>
      <c r="E276" s="30" t="s">
        <v>227</v>
      </c>
      <c r="F276" s="30">
        <v>17</v>
      </c>
      <c r="G276" s="14">
        <f t="shared" si="40"/>
        <v>0</v>
      </c>
      <c r="H276" s="19">
        <v>0</v>
      </c>
      <c r="I276" s="19">
        <v>0</v>
      </c>
      <c r="J276" s="24" t="s">
        <v>37</v>
      </c>
      <c r="K276" s="14">
        <v>0.25</v>
      </c>
      <c r="L276" s="19">
        <f t="shared" si="41"/>
        <v>0</v>
      </c>
      <c r="M276" s="19">
        <f>AVERAGE(W276:Z276)</f>
        <v>23.5</v>
      </c>
      <c r="O276" s="19">
        <v>95</v>
      </c>
      <c r="P276" s="19">
        <v>5</v>
      </c>
      <c r="Q276" s="19">
        <v>10</v>
      </c>
      <c r="R276" s="19">
        <v>24</v>
      </c>
      <c r="S276" s="40" t="s">
        <v>102</v>
      </c>
      <c r="T276" s="41" t="s">
        <v>505</v>
      </c>
      <c r="U276" s="14">
        <v>5</v>
      </c>
      <c r="W276" s="14">
        <v>19</v>
      </c>
      <c r="X276" s="14">
        <v>26</v>
      </c>
      <c r="Y276" s="14">
        <v>15</v>
      </c>
      <c r="Z276" s="14">
        <v>34</v>
      </c>
      <c r="AF276" s="41" t="s">
        <v>37</v>
      </c>
      <c r="AK276" s="42">
        <v>44747</v>
      </c>
    </row>
    <row r="277" spans="1:38" x14ac:dyDescent="0.25">
      <c r="A277" s="40" t="s">
        <v>26</v>
      </c>
      <c r="B277" s="40" t="s">
        <v>226</v>
      </c>
      <c r="C277" s="34">
        <v>2023</v>
      </c>
      <c r="D277" s="15">
        <v>0</v>
      </c>
      <c r="E277" s="30" t="s">
        <v>227</v>
      </c>
      <c r="F277" s="30">
        <v>17</v>
      </c>
      <c r="G277" s="14">
        <f t="shared" si="40"/>
        <v>0</v>
      </c>
      <c r="H277" s="19">
        <v>0</v>
      </c>
      <c r="I277" s="19">
        <v>0</v>
      </c>
      <c r="J277" s="24" t="s">
        <v>37</v>
      </c>
      <c r="K277" s="14">
        <v>0.25</v>
      </c>
      <c r="L277" s="19">
        <f t="shared" si="41"/>
        <v>0</v>
      </c>
      <c r="M277" s="19">
        <f>AVERAGE(W277:Z277)</f>
        <v>23.25</v>
      </c>
      <c r="N277" s="19">
        <f>AVERAGE(AA277:AB277)</f>
        <v>28.5</v>
      </c>
      <c r="O277" s="19">
        <v>100</v>
      </c>
      <c r="P277" s="19">
        <v>5</v>
      </c>
      <c r="Q277" s="19">
        <v>15</v>
      </c>
      <c r="R277" s="19">
        <v>13</v>
      </c>
      <c r="S277" s="59" t="s">
        <v>541</v>
      </c>
      <c r="T277" s="57" t="s">
        <v>624</v>
      </c>
      <c r="U277" s="57" t="s">
        <v>627</v>
      </c>
      <c r="W277" s="14">
        <v>22</v>
      </c>
      <c r="X277" s="14">
        <v>24</v>
      </c>
      <c r="Y277" s="14">
        <v>20</v>
      </c>
      <c r="Z277" s="14">
        <v>27</v>
      </c>
      <c r="AA277" s="14">
        <v>29</v>
      </c>
      <c r="AB277" s="14">
        <v>28</v>
      </c>
      <c r="AF277" s="41" t="s">
        <v>37</v>
      </c>
      <c r="AH277" s="57" t="s">
        <v>577</v>
      </c>
      <c r="AK277" s="42">
        <v>44747</v>
      </c>
    </row>
    <row r="278" spans="1:38" x14ac:dyDescent="0.25">
      <c r="A278" s="40" t="s">
        <v>26</v>
      </c>
      <c r="B278" s="40" t="s">
        <v>226</v>
      </c>
      <c r="C278" s="34">
        <v>2024</v>
      </c>
      <c r="D278" s="15">
        <v>0</v>
      </c>
      <c r="E278" s="30" t="s">
        <v>227</v>
      </c>
      <c r="F278" s="30">
        <v>17</v>
      </c>
      <c r="G278" s="14">
        <f t="shared" si="40"/>
        <v>0</v>
      </c>
      <c r="H278" s="19">
        <v>0</v>
      </c>
      <c r="I278" s="19">
        <v>0</v>
      </c>
      <c r="J278" s="24" t="s">
        <v>37</v>
      </c>
      <c r="K278" s="14">
        <v>0.25</v>
      </c>
      <c r="L278" s="19">
        <f t="shared" si="41"/>
        <v>0</v>
      </c>
      <c r="M278" s="19">
        <f>AVERAGE(X278:Z278)</f>
        <v>22.666666666666668</v>
      </c>
      <c r="O278" s="19">
        <v>97</v>
      </c>
      <c r="P278" s="19">
        <v>1</v>
      </c>
      <c r="Q278" s="19">
        <v>3</v>
      </c>
      <c r="W278" s="14">
        <v>27</v>
      </c>
      <c r="X278" s="14">
        <v>25</v>
      </c>
      <c r="Y278" s="14">
        <v>21</v>
      </c>
      <c r="Z278" s="14">
        <v>22</v>
      </c>
    </row>
    <row r="279" spans="1:38" x14ac:dyDescent="0.25">
      <c r="A279" s="27" t="s">
        <v>26</v>
      </c>
      <c r="B279" s="27" t="s">
        <v>229</v>
      </c>
      <c r="C279" s="34">
        <v>2021</v>
      </c>
      <c r="D279" s="34">
        <v>0</v>
      </c>
      <c r="E279" s="30" t="s">
        <v>227</v>
      </c>
      <c r="F279" s="30">
        <v>27</v>
      </c>
      <c r="G279" s="30">
        <f t="shared" si="40"/>
        <v>0</v>
      </c>
      <c r="H279" s="27">
        <v>0</v>
      </c>
      <c r="I279" s="27">
        <v>0</v>
      </c>
      <c r="J279" s="24" t="s">
        <v>37</v>
      </c>
      <c r="K279" s="30">
        <v>0.25</v>
      </c>
      <c r="L279" s="27">
        <f t="shared" si="41"/>
        <v>0</v>
      </c>
      <c r="M279" s="27">
        <f>AVERAGE(W279:Z279)</f>
        <v>18.5</v>
      </c>
      <c r="N279" s="27"/>
      <c r="O279" s="27">
        <v>95</v>
      </c>
      <c r="P279" s="27">
        <v>10</v>
      </c>
      <c r="Q279" s="27">
        <v>5</v>
      </c>
      <c r="R279" s="27">
        <f>3+5</f>
        <v>8</v>
      </c>
      <c r="S279" s="27" t="s">
        <v>230</v>
      </c>
      <c r="T279" s="30"/>
      <c r="U279" s="30"/>
      <c r="V279" s="30"/>
      <c r="W279" s="30">
        <v>23</v>
      </c>
      <c r="X279" s="30">
        <v>16</v>
      </c>
      <c r="Y279" s="30">
        <v>17</v>
      </c>
      <c r="Z279" s="30">
        <v>18</v>
      </c>
      <c r="AA279" s="30"/>
      <c r="AB279" s="30"/>
      <c r="AD279" s="30" t="s">
        <v>228</v>
      </c>
      <c r="AE279" s="30" t="s">
        <v>37</v>
      </c>
      <c r="AF279" s="30" t="s">
        <v>37</v>
      </c>
      <c r="AG279" s="30" t="s">
        <v>37</v>
      </c>
      <c r="AH279" s="30">
        <v>1</v>
      </c>
      <c r="AI279" s="30">
        <v>2</v>
      </c>
      <c r="AJ279" s="30">
        <v>0</v>
      </c>
      <c r="AK279" s="32">
        <v>44379</v>
      </c>
      <c r="AL279" s="30"/>
    </row>
    <row r="280" spans="1:38" x14ac:dyDescent="0.25">
      <c r="A280" s="40" t="s">
        <v>26</v>
      </c>
      <c r="B280" s="40" t="s">
        <v>229</v>
      </c>
      <c r="C280" s="15">
        <v>2022</v>
      </c>
      <c r="D280" s="15">
        <v>0</v>
      </c>
      <c r="E280" s="30" t="s">
        <v>227</v>
      </c>
      <c r="F280" s="30">
        <v>27</v>
      </c>
      <c r="G280" s="14">
        <f t="shared" si="40"/>
        <v>0</v>
      </c>
      <c r="H280" s="19">
        <v>0</v>
      </c>
      <c r="I280" s="19">
        <v>0</v>
      </c>
      <c r="J280" s="24" t="s">
        <v>37</v>
      </c>
      <c r="K280" s="14">
        <v>0.25</v>
      </c>
      <c r="L280" s="19">
        <f t="shared" si="41"/>
        <v>0</v>
      </c>
      <c r="M280" s="19">
        <f>AVERAGE(W280:Z280)</f>
        <v>16.25</v>
      </c>
      <c r="O280" s="19">
        <v>100</v>
      </c>
      <c r="P280" s="19">
        <v>10</v>
      </c>
      <c r="Q280" s="19">
        <v>5</v>
      </c>
      <c r="R280" s="19">
        <v>11</v>
      </c>
      <c r="S280" s="40" t="s">
        <v>515</v>
      </c>
      <c r="T280" s="41" t="s">
        <v>516</v>
      </c>
      <c r="U280" s="14">
        <v>3</v>
      </c>
      <c r="W280" s="14">
        <v>14</v>
      </c>
      <c r="X280" s="14">
        <v>13</v>
      </c>
      <c r="Y280" s="14">
        <v>17</v>
      </c>
      <c r="Z280" s="14">
        <v>21</v>
      </c>
      <c r="AF280" s="41" t="s">
        <v>37</v>
      </c>
      <c r="AK280" s="42">
        <v>44747</v>
      </c>
    </row>
    <row r="281" spans="1:38" x14ac:dyDescent="0.25">
      <c r="A281" s="40" t="s">
        <v>26</v>
      </c>
      <c r="B281" s="40" t="s">
        <v>229</v>
      </c>
      <c r="C281" s="34">
        <v>2023</v>
      </c>
      <c r="D281" s="15">
        <v>0</v>
      </c>
      <c r="E281" s="30" t="s">
        <v>227</v>
      </c>
      <c r="F281" s="30">
        <v>27</v>
      </c>
      <c r="G281" s="14">
        <f t="shared" si="40"/>
        <v>0</v>
      </c>
      <c r="H281" s="19">
        <v>0</v>
      </c>
      <c r="I281" s="19">
        <v>0</v>
      </c>
      <c r="J281" s="24" t="s">
        <v>37</v>
      </c>
      <c r="K281" s="14">
        <v>0.25</v>
      </c>
      <c r="L281" s="19">
        <f t="shared" si="41"/>
        <v>0</v>
      </c>
      <c r="M281" s="19">
        <f>AVERAGE(W281:Z281)</f>
        <v>17.5</v>
      </c>
      <c r="N281" s="19">
        <f>AVERAGE(AA281:AB281)</f>
        <v>33</v>
      </c>
      <c r="O281" s="19">
        <v>95</v>
      </c>
      <c r="P281" s="19">
        <v>3</v>
      </c>
      <c r="Q281" s="19">
        <v>7</v>
      </c>
      <c r="R281" s="59" t="s">
        <v>622</v>
      </c>
      <c r="S281" s="59" t="s">
        <v>623</v>
      </c>
      <c r="T281" s="57" t="s">
        <v>184</v>
      </c>
      <c r="U281" s="14">
        <v>1</v>
      </c>
      <c r="W281" s="14">
        <v>15</v>
      </c>
      <c r="X281" s="14">
        <v>18</v>
      </c>
      <c r="Y281" s="14">
        <v>21</v>
      </c>
      <c r="Z281" s="14">
        <v>16</v>
      </c>
      <c r="AA281" s="14">
        <v>35</v>
      </c>
      <c r="AB281" s="14">
        <v>31</v>
      </c>
      <c r="AF281" s="41" t="s">
        <v>37</v>
      </c>
      <c r="AH281" s="57" t="s">
        <v>577</v>
      </c>
      <c r="AK281" s="42">
        <v>44747</v>
      </c>
    </row>
    <row r="282" spans="1:38" x14ac:dyDescent="0.25">
      <c r="A282" s="40" t="s">
        <v>26</v>
      </c>
      <c r="B282" s="40" t="s">
        <v>229</v>
      </c>
      <c r="C282" s="34">
        <v>2024</v>
      </c>
      <c r="D282" s="15">
        <v>0</v>
      </c>
      <c r="E282" s="30" t="s">
        <v>227</v>
      </c>
      <c r="F282" s="30">
        <v>27</v>
      </c>
      <c r="G282" s="14">
        <f t="shared" si="40"/>
        <v>0</v>
      </c>
      <c r="H282" s="19">
        <v>0</v>
      </c>
      <c r="I282" s="19">
        <v>0</v>
      </c>
      <c r="J282" s="24" t="s">
        <v>37</v>
      </c>
      <c r="K282" s="14">
        <v>0.25</v>
      </c>
      <c r="L282" s="19">
        <f t="shared" si="41"/>
        <v>0</v>
      </c>
      <c r="M282" s="19">
        <f>AVERAGE(X282:Z282)</f>
        <v>14.666666666666666</v>
      </c>
      <c r="O282" s="19">
        <v>90</v>
      </c>
      <c r="P282" s="19">
        <v>5</v>
      </c>
      <c r="Q282" s="19">
        <v>10</v>
      </c>
      <c r="W282" s="14">
        <v>8</v>
      </c>
      <c r="X282" s="14">
        <v>17</v>
      </c>
      <c r="Y282" s="14">
        <v>16</v>
      </c>
      <c r="Z282" s="14">
        <v>11</v>
      </c>
    </row>
    <row r="283" spans="1:38" hidden="1" x14ac:dyDescent="0.25">
      <c r="A283" s="21" t="s">
        <v>26</v>
      </c>
      <c r="B283" s="27" t="s">
        <v>168</v>
      </c>
      <c r="C283" s="3">
        <v>2014</v>
      </c>
      <c r="D283" s="3">
        <v>1</v>
      </c>
      <c r="E283" s="3" t="s">
        <v>37</v>
      </c>
      <c r="F283" s="3" t="s">
        <v>37</v>
      </c>
      <c r="G283" s="2">
        <v>28</v>
      </c>
      <c r="H283" s="21">
        <v>5</v>
      </c>
      <c r="I283" s="21">
        <f>G283-H283</f>
        <v>23</v>
      </c>
      <c r="J283" s="24">
        <f>H283/G283</f>
        <v>0.17857142857142858</v>
      </c>
      <c r="K283" s="2">
        <v>0.25</v>
      </c>
      <c r="L283" s="27">
        <f t="shared" si="41"/>
        <v>28</v>
      </c>
      <c r="M283" s="27">
        <v>7</v>
      </c>
      <c r="N283" s="27"/>
      <c r="O283" s="27">
        <v>100</v>
      </c>
      <c r="P283" s="27"/>
      <c r="Q283" s="27"/>
      <c r="R283" s="27"/>
      <c r="S283" s="27"/>
      <c r="T283" s="30"/>
      <c r="U283" s="30"/>
      <c r="V283" s="30"/>
      <c r="W283" s="30"/>
      <c r="X283" s="30"/>
      <c r="Y283" s="30"/>
      <c r="Z283" s="30"/>
      <c r="AA283" s="30"/>
      <c r="AB283" s="30"/>
      <c r="AC283" s="2" t="s">
        <v>160</v>
      </c>
      <c r="AD283" s="3" t="s">
        <v>167</v>
      </c>
      <c r="AE283" s="3" t="s">
        <v>37</v>
      </c>
      <c r="AF283" s="2">
        <v>584.64285714285711</v>
      </c>
      <c r="AG283" s="30">
        <v>56</v>
      </c>
      <c r="AH283" s="30">
        <v>1</v>
      </c>
      <c r="AI283" s="30">
        <v>1</v>
      </c>
      <c r="AJ283" s="30">
        <v>1</v>
      </c>
      <c r="AK283" s="30"/>
      <c r="AL283" s="30"/>
    </row>
    <row r="284" spans="1:38" hidden="1" x14ac:dyDescent="0.25">
      <c r="A284" s="21" t="s">
        <v>26</v>
      </c>
      <c r="B284" s="27" t="s">
        <v>168</v>
      </c>
      <c r="C284" s="3">
        <v>2015</v>
      </c>
      <c r="D284" s="3">
        <v>1</v>
      </c>
      <c r="E284" s="3" t="s">
        <v>37</v>
      </c>
      <c r="F284" s="3" t="s">
        <v>37</v>
      </c>
      <c r="G284" s="2" t="s">
        <v>37</v>
      </c>
      <c r="H284" s="21" t="s">
        <v>37</v>
      </c>
      <c r="I284" s="21" t="s">
        <v>37</v>
      </c>
      <c r="J284" s="24" t="s">
        <v>37</v>
      </c>
      <c r="K284" s="2">
        <v>0.25</v>
      </c>
      <c r="L284" s="24" t="s">
        <v>37</v>
      </c>
      <c r="M284" s="27" t="s">
        <v>37</v>
      </c>
      <c r="N284" s="27"/>
      <c r="O284" s="27" t="s">
        <v>37</v>
      </c>
      <c r="P284" s="27"/>
      <c r="Q284" s="27"/>
      <c r="R284" s="27"/>
      <c r="S284" s="27"/>
      <c r="T284" s="30"/>
      <c r="U284" s="30"/>
      <c r="V284" s="30"/>
      <c r="W284" s="30"/>
      <c r="X284" s="30"/>
      <c r="Y284" s="30"/>
      <c r="Z284" s="30"/>
      <c r="AA284" s="30"/>
      <c r="AB284" s="30"/>
      <c r="AC284" s="2" t="s">
        <v>160</v>
      </c>
      <c r="AD284" s="3" t="s">
        <v>167</v>
      </c>
      <c r="AE284" s="3" t="s">
        <v>37</v>
      </c>
      <c r="AF284" s="2" t="s">
        <v>37</v>
      </c>
      <c r="AG284" s="30" t="s">
        <v>37</v>
      </c>
      <c r="AH284" s="30">
        <v>1</v>
      </c>
      <c r="AI284" s="30">
        <v>2</v>
      </c>
      <c r="AJ284" s="30">
        <v>0</v>
      </c>
      <c r="AK284" s="30"/>
      <c r="AL284" s="30"/>
    </row>
    <row r="285" spans="1:38" hidden="1" x14ac:dyDescent="0.25">
      <c r="A285" s="21" t="s">
        <v>26</v>
      </c>
      <c r="B285" s="27" t="s">
        <v>168</v>
      </c>
      <c r="C285" s="3">
        <v>2016</v>
      </c>
      <c r="D285" s="3">
        <v>1</v>
      </c>
      <c r="E285" s="3" t="s">
        <v>37</v>
      </c>
      <c r="F285" s="3" t="s">
        <v>37</v>
      </c>
      <c r="G285" s="25" t="s">
        <v>37</v>
      </c>
      <c r="H285" s="23" t="s">
        <v>37</v>
      </c>
      <c r="I285" s="24" t="s">
        <v>37</v>
      </c>
      <c r="J285" s="24" t="s">
        <v>37</v>
      </c>
      <c r="K285" s="2">
        <v>0.25</v>
      </c>
      <c r="L285" s="24" t="s">
        <v>37</v>
      </c>
      <c r="M285" s="27" t="s">
        <v>37</v>
      </c>
      <c r="N285" s="27"/>
      <c r="O285" s="27" t="s">
        <v>37</v>
      </c>
      <c r="P285" s="27"/>
      <c r="Q285" s="27"/>
      <c r="R285" s="27"/>
      <c r="S285" s="27"/>
      <c r="T285" s="30"/>
      <c r="U285" s="30"/>
      <c r="V285" s="30"/>
      <c r="W285" s="30"/>
      <c r="X285" s="30"/>
      <c r="Y285" s="30"/>
      <c r="Z285" s="30"/>
      <c r="AA285" s="30"/>
      <c r="AB285" s="30"/>
      <c r="AC285" s="2" t="s">
        <v>160</v>
      </c>
      <c r="AD285" s="3" t="s">
        <v>167</v>
      </c>
      <c r="AE285" s="3" t="s">
        <v>37</v>
      </c>
      <c r="AF285" s="2" t="s">
        <v>37</v>
      </c>
      <c r="AG285" s="30" t="s">
        <v>37</v>
      </c>
      <c r="AH285" s="30">
        <v>1</v>
      </c>
      <c r="AI285" s="30">
        <v>2</v>
      </c>
      <c r="AJ285" s="30">
        <v>0</v>
      </c>
      <c r="AK285" s="30"/>
      <c r="AL285" s="30"/>
    </row>
    <row r="286" spans="1:38" hidden="1" x14ac:dyDescent="0.25">
      <c r="A286" s="21" t="s">
        <v>26</v>
      </c>
      <c r="B286" s="27" t="s">
        <v>168</v>
      </c>
      <c r="C286" s="3">
        <v>2017</v>
      </c>
      <c r="D286" s="3">
        <v>1</v>
      </c>
      <c r="E286" s="3" t="s">
        <v>37</v>
      </c>
      <c r="F286" s="3" t="s">
        <v>37</v>
      </c>
      <c r="G286" s="25" t="s">
        <v>37</v>
      </c>
      <c r="H286" s="23" t="s">
        <v>37</v>
      </c>
      <c r="I286" s="21" t="s">
        <v>37</v>
      </c>
      <c r="J286" s="24" t="s">
        <v>37</v>
      </c>
      <c r="K286" s="2">
        <v>0.25</v>
      </c>
      <c r="L286" s="24" t="s">
        <v>37</v>
      </c>
      <c r="M286" s="27" t="s">
        <v>37</v>
      </c>
      <c r="N286" s="27"/>
      <c r="O286" s="27" t="s">
        <v>37</v>
      </c>
      <c r="P286" s="27"/>
      <c r="Q286" s="27"/>
      <c r="R286" s="27"/>
      <c r="S286" s="27"/>
      <c r="T286" s="30"/>
      <c r="U286" s="30"/>
      <c r="V286" s="30"/>
      <c r="W286" s="30"/>
      <c r="X286" s="30"/>
      <c r="Y286" s="30"/>
      <c r="Z286" s="30"/>
      <c r="AA286" s="30"/>
      <c r="AB286" s="30"/>
      <c r="AC286" s="2" t="s">
        <v>160</v>
      </c>
      <c r="AD286" s="3" t="s">
        <v>167</v>
      </c>
      <c r="AE286" s="3" t="s">
        <v>37</v>
      </c>
      <c r="AF286" s="2" t="s">
        <v>37</v>
      </c>
      <c r="AG286" s="30" t="s">
        <v>37</v>
      </c>
      <c r="AH286" s="30">
        <v>1</v>
      </c>
      <c r="AI286" s="30">
        <v>2</v>
      </c>
      <c r="AJ286" s="30">
        <v>0</v>
      </c>
      <c r="AK286" s="30"/>
      <c r="AL286" s="30"/>
    </row>
    <row r="287" spans="1:38" hidden="1" x14ac:dyDescent="0.25">
      <c r="A287" s="21" t="s">
        <v>26</v>
      </c>
      <c r="B287" s="27" t="s">
        <v>168</v>
      </c>
      <c r="C287" s="3">
        <v>2018</v>
      </c>
      <c r="D287" s="3">
        <v>1</v>
      </c>
      <c r="E287" s="3" t="s">
        <v>37</v>
      </c>
      <c r="F287" s="3" t="s">
        <v>37</v>
      </c>
      <c r="G287" s="30" t="s">
        <v>37</v>
      </c>
      <c r="H287" s="27" t="s">
        <v>37</v>
      </c>
      <c r="I287" s="27" t="s">
        <v>37</v>
      </c>
      <c r="J287" s="27" t="s">
        <v>37</v>
      </c>
      <c r="K287" s="2" t="s">
        <v>37</v>
      </c>
      <c r="L287" s="24" t="s">
        <v>37</v>
      </c>
      <c r="M287" s="27" t="s">
        <v>37</v>
      </c>
      <c r="N287" s="27"/>
      <c r="O287" s="27" t="s">
        <v>37</v>
      </c>
      <c r="P287" s="27"/>
      <c r="Q287" s="27"/>
      <c r="R287" s="27"/>
      <c r="S287" s="27"/>
      <c r="T287" s="30"/>
      <c r="U287" s="30"/>
      <c r="V287" s="30"/>
      <c r="W287" s="30"/>
      <c r="X287" s="30"/>
      <c r="Y287" s="30"/>
      <c r="Z287" s="30"/>
      <c r="AA287" s="30"/>
      <c r="AB287" s="30"/>
      <c r="AC287" s="2" t="s">
        <v>178</v>
      </c>
      <c r="AD287" s="3" t="s">
        <v>167</v>
      </c>
      <c r="AE287" s="3" t="s">
        <v>37</v>
      </c>
      <c r="AF287" s="30" t="s">
        <v>37</v>
      </c>
      <c r="AG287" s="30" t="s">
        <v>37</v>
      </c>
      <c r="AH287" s="30">
        <v>1</v>
      </c>
      <c r="AI287" s="30">
        <v>2</v>
      </c>
      <c r="AJ287" s="30">
        <v>0</v>
      </c>
      <c r="AK287" s="30"/>
      <c r="AL287" s="30"/>
    </row>
    <row r="288" spans="1:38" hidden="1" x14ac:dyDescent="0.25">
      <c r="A288" s="21" t="s">
        <v>26</v>
      </c>
      <c r="B288" s="27" t="s">
        <v>168</v>
      </c>
      <c r="C288" s="3">
        <v>2019</v>
      </c>
      <c r="D288" s="3">
        <v>1</v>
      </c>
      <c r="E288" s="3" t="s">
        <v>37</v>
      </c>
      <c r="F288" s="3" t="s">
        <v>37</v>
      </c>
      <c r="G288" s="30">
        <f>SUM(H288:I288)</f>
        <v>36</v>
      </c>
      <c r="H288" s="27">
        <v>10</v>
      </c>
      <c r="I288" s="21">
        <v>26</v>
      </c>
      <c r="J288" s="24">
        <f>H288/G288</f>
        <v>0.27777777777777779</v>
      </c>
      <c r="K288" s="30">
        <v>0.25</v>
      </c>
      <c r="L288" s="27">
        <f>G288/(K288/0.25)</f>
        <v>36</v>
      </c>
      <c r="M288" s="27">
        <f>(4+8+11+9)/4</f>
        <v>8</v>
      </c>
      <c r="N288" s="27"/>
      <c r="O288" s="27">
        <v>60</v>
      </c>
      <c r="P288" s="27">
        <v>40</v>
      </c>
      <c r="Q288" s="27"/>
      <c r="R288" s="27"/>
      <c r="S288" s="27"/>
      <c r="T288" s="30"/>
      <c r="U288" s="30"/>
      <c r="V288" s="30"/>
      <c r="W288" s="30"/>
      <c r="X288" s="30"/>
      <c r="Y288" s="30"/>
      <c r="Z288" s="30"/>
      <c r="AA288" s="30"/>
      <c r="AB288" s="30"/>
      <c r="AC288" s="2" t="s">
        <v>178</v>
      </c>
      <c r="AD288" s="3" t="s">
        <v>167</v>
      </c>
      <c r="AE288" s="3" t="s">
        <v>37</v>
      </c>
      <c r="AF288" s="30" t="s">
        <v>37</v>
      </c>
      <c r="AG288" s="30" t="s">
        <v>37</v>
      </c>
      <c r="AH288" s="30">
        <v>1</v>
      </c>
      <c r="AI288" s="30">
        <v>2</v>
      </c>
      <c r="AJ288" s="30">
        <v>0</v>
      </c>
      <c r="AK288" s="32">
        <v>43623</v>
      </c>
      <c r="AL288" s="30">
        <v>9</v>
      </c>
    </row>
    <row r="289" spans="1:38" hidden="1" x14ac:dyDescent="0.25">
      <c r="A289" s="21" t="s">
        <v>26</v>
      </c>
      <c r="B289" s="27" t="s">
        <v>168</v>
      </c>
      <c r="C289" s="3">
        <v>2020</v>
      </c>
      <c r="D289" s="3">
        <v>1</v>
      </c>
      <c r="E289" s="3" t="s">
        <v>37</v>
      </c>
      <c r="F289" s="3" t="s">
        <v>37</v>
      </c>
      <c r="G289" s="30" t="s">
        <v>37</v>
      </c>
      <c r="H289" s="27" t="s">
        <v>37</v>
      </c>
      <c r="I289" s="27" t="s">
        <v>37</v>
      </c>
      <c r="J289" s="27" t="s">
        <v>37</v>
      </c>
      <c r="K289" s="30">
        <v>0.25</v>
      </c>
      <c r="L289" s="27" t="s">
        <v>37</v>
      </c>
      <c r="M289" s="27" t="s">
        <v>37</v>
      </c>
      <c r="N289" s="27"/>
      <c r="O289" s="27" t="s">
        <v>37</v>
      </c>
      <c r="P289" s="27" t="s">
        <v>37</v>
      </c>
      <c r="Q289" s="27"/>
      <c r="R289" s="27"/>
      <c r="S289" s="27"/>
      <c r="T289" s="30"/>
      <c r="U289" s="30"/>
      <c r="V289" s="30"/>
      <c r="W289" s="30"/>
      <c r="X289" s="30"/>
      <c r="Y289" s="30"/>
      <c r="Z289" s="30"/>
      <c r="AA289" s="30"/>
      <c r="AB289" s="30"/>
      <c r="AC289" s="2" t="s">
        <v>178</v>
      </c>
      <c r="AD289" s="3" t="s">
        <v>167</v>
      </c>
      <c r="AE289" s="3" t="s">
        <v>37</v>
      </c>
      <c r="AF289" s="30" t="s">
        <v>37</v>
      </c>
      <c r="AG289" s="30"/>
      <c r="AH289" s="30">
        <v>1</v>
      </c>
      <c r="AI289" s="30">
        <v>2</v>
      </c>
      <c r="AJ289" s="30">
        <v>0</v>
      </c>
      <c r="AK289" s="32" t="s">
        <v>163</v>
      </c>
      <c r="AL289" s="30"/>
    </row>
    <row r="290" spans="1:38" hidden="1" x14ac:dyDescent="0.25">
      <c r="A290" s="27" t="s">
        <v>26</v>
      </c>
      <c r="B290" s="27" t="s">
        <v>168</v>
      </c>
      <c r="C290" s="34">
        <v>2021</v>
      </c>
      <c r="D290" s="34">
        <v>1</v>
      </c>
      <c r="E290" s="30" t="s">
        <v>37</v>
      </c>
      <c r="F290" s="30" t="s">
        <v>37</v>
      </c>
      <c r="G290" s="30">
        <f>SUM(H290:I290)</f>
        <v>37</v>
      </c>
      <c r="H290" s="27">
        <v>9</v>
      </c>
      <c r="I290" s="27">
        <v>28</v>
      </c>
      <c r="J290" s="24">
        <f t="shared" ref="J290:J297" si="42">H290/G290</f>
        <v>0.24324324324324326</v>
      </c>
      <c r="K290" s="30">
        <v>0.25</v>
      </c>
      <c r="L290" s="27">
        <f t="shared" ref="L290:L297" si="43">G290/(K290/0.25)</f>
        <v>37</v>
      </c>
      <c r="M290" s="27">
        <f>AVERAGE(W290:Z290)</f>
        <v>18</v>
      </c>
      <c r="N290" s="27"/>
      <c r="O290" s="27">
        <v>80</v>
      </c>
      <c r="P290" s="27">
        <v>5</v>
      </c>
      <c r="Q290" s="27">
        <v>15</v>
      </c>
      <c r="R290" s="27">
        <v>1</v>
      </c>
      <c r="S290" s="27" t="s">
        <v>102</v>
      </c>
      <c r="T290" s="30"/>
      <c r="U290" s="30"/>
      <c r="V290" s="30"/>
      <c r="W290" s="30">
        <v>12</v>
      </c>
      <c r="X290" s="30">
        <v>17</v>
      </c>
      <c r="Y290" s="30">
        <v>25</v>
      </c>
      <c r="Z290" s="30">
        <v>18</v>
      </c>
      <c r="AA290" s="30"/>
      <c r="AB290" s="30"/>
      <c r="AC290" s="2"/>
      <c r="AD290" s="30" t="s">
        <v>167</v>
      </c>
      <c r="AE290" s="30" t="s">
        <v>37</v>
      </c>
      <c r="AF290" s="30" t="s">
        <v>37</v>
      </c>
      <c r="AG290" s="30" t="s">
        <v>37</v>
      </c>
      <c r="AH290" s="30">
        <v>1</v>
      </c>
      <c r="AI290" s="30">
        <v>2</v>
      </c>
      <c r="AJ290" s="30">
        <v>0</v>
      </c>
      <c r="AK290" s="32">
        <v>44379</v>
      </c>
      <c r="AL290" s="30"/>
    </row>
    <row r="291" spans="1:38" hidden="1" x14ac:dyDescent="0.25">
      <c r="A291" s="40" t="s">
        <v>26</v>
      </c>
      <c r="B291" s="40" t="s">
        <v>168</v>
      </c>
      <c r="C291" s="34">
        <v>2022</v>
      </c>
      <c r="D291" s="34">
        <v>1</v>
      </c>
      <c r="E291" s="30" t="s">
        <v>37</v>
      </c>
      <c r="F291" s="30" t="s">
        <v>37</v>
      </c>
      <c r="G291" s="30">
        <f>SUM(H291:I291)</f>
        <v>35</v>
      </c>
      <c r="H291" s="27">
        <v>8</v>
      </c>
      <c r="I291" s="27">
        <v>27</v>
      </c>
      <c r="J291" s="24">
        <f t="shared" si="42"/>
        <v>0.22857142857142856</v>
      </c>
      <c r="K291" s="30">
        <v>0.25</v>
      </c>
      <c r="L291" s="27">
        <f t="shared" si="43"/>
        <v>35</v>
      </c>
      <c r="M291" s="27">
        <f>AVERAGE(W291:Z291)</f>
        <v>16.75</v>
      </c>
      <c r="N291" s="27"/>
      <c r="O291" s="27">
        <v>97</v>
      </c>
      <c r="P291" s="27">
        <v>1</v>
      </c>
      <c r="Q291" s="27">
        <v>5</v>
      </c>
      <c r="R291" s="27">
        <v>2</v>
      </c>
      <c r="S291" s="40" t="s">
        <v>102</v>
      </c>
      <c r="T291" s="41" t="s">
        <v>503</v>
      </c>
      <c r="U291" s="30">
        <v>2</v>
      </c>
      <c r="V291" s="30"/>
      <c r="W291" s="30">
        <v>17</v>
      </c>
      <c r="X291" s="30">
        <v>16</v>
      </c>
      <c r="Y291" s="30">
        <v>20</v>
      </c>
      <c r="Z291" s="30">
        <v>14</v>
      </c>
      <c r="AA291" s="30"/>
      <c r="AB291" s="30"/>
      <c r="AD291" s="30"/>
      <c r="AE291" s="30"/>
      <c r="AF291" s="41" t="s">
        <v>37</v>
      </c>
      <c r="AG291" s="30"/>
      <c r="AH291" s="30"/>
      <c r="AI291" s="30"/>
      <c r="AJ291" s="30"/>
      <c r="AK291" s="32">
        <v>44747</v>
      </c>
      <c r="AL291" s="30"/>
    </row>
    <row r="292" spans="1:38" hidden="1" x14ac:dyDescent="0.25">
      <c r="A292" s="40" t="s">
        <v>26</v>
      </c>
      <c r="B292" s="40" t="s">
        <v>168</v>
      </c>
      <c r="C292" s="34">
        <v>2023</v>
      </c>
      <c r="D292" s="34">
        <v>1</v>
      </c>
      <c r="E292" s="30" t="s">
        <v>37</v>
      </c>
      <c r="F292" s="30" t="s">
        <v>37</v>
      </c>
      <c r="G292" s="30">
        <f>SUM(H292:I292)</f>
        <v>45</v>
      </c>
      <c r="H292" s="27">
        <v>15</v>
      </c>
      <c r="I292" s="27">
        <v>30</v>
      </c>
      <c r="J292" s="24">
        <f t="shared" si="42"/>
        <v>0.33333333333333331</v>
      </c>
      <c r="K292" s="30">
        <v>0.25</v>
      </c>
      <c r="L292" s="27">
        <f t="shared" si="43"/>
        <v>45</v>
      </c>
      <c r="M292" s="27">
        <f>AVERAGE(W292:Z292)</f>
        <v>18.25</v>
      </c>
      <c r="N292" s="19">
        <f>AVERAGE(AA292:AB292)</f>
        <v>31.25</v>
      </c>
      <c r="O292" s="27">
        <v>85</v>
      </c>
      <c r="P292" s="27">
        <v>3</v>
      </c>
      <c r="Q292" s="27">
        <v>15</v>
      </c>
      <c r="R292" s="59" t="s">
        <v>645</v>
      </c>
      <c r="S292" s="59" t="s">
        <v>574</v>
      </c>
      <c r="T292" s="57" t="s">
        <v>502</v>
      </c>
      <c r="U292" s="30">
        <v>1</v>
      </c>
      <c r="V292" s="30"/>
      <c r="W292" s="30">
        <v>15</v>
      </c>
      <c r="X292" s="30">
        <v>17</v>
      </c>
      <c r="Y292" s="30">
        <v>25</v>
      </c>
      <c r="Z292" s="30">
        <v>16</v>
      </c>
      <c r="AA292" s="30">
        <v>38</v>
      </c>
      <c r="AB292" s="30">
        <v>24.5</v>
      </c>
      <c r="AD292" s="30"/>
      <c r="AE292" s="30"/>
      <c r="AF292" s="41" t="s">
        <v>37</v>
      </c>
      <c r="AG292" s="30"/>
      <c r="AH292" s="57" t="s">
        <v>577</v>
      </c>
      <c r="AI292" s="30"/>
      <c r="AJ292" s="30"/>
      <c r="AK292" s="32">
        <v>44747</v>
      </c>
      <c r="AL292" s="30"/>
    </row>
    <row r="293" spans="1:38" hidden="1" x14ac:dyDescent="0.25">
      <c r="A293" s="40" t="s">
        <v>26</v>
      </c>
      <c r="B293" s="40" t="s">
        <v>168</v>
      </c>
      <c r="C293" s="34">
        <v>2024</v>
      </c>
      <c r="D293" s="34">
        <v>1</v>
      </c>
      <c r="E293" s="30" t="s">
        <v>37</v>
      </c>
      <c r="F293" s="30" t="s">
        <v>37</v>
      </c>
      <c r="G293" s="14">
        <f>SUM(H293:I293)</f>
        <v>41</v>
      </c>
      <c r="H293" s="19">
        <v>5</v>
      </c>
      <c r="I293" s="19">
        <v>36</v>
      </c>
      <c r="J293" s="24">
        <f t="shared" si="42"/>
        <v>0.12195121951219512</v>
      </c>
      <c r="K293" s="14">
        <v>0.25</v>
      </c>
      <c r="L293" s="19">
        <f t="shared" si="43"/>
        <v>41</v>
      </c>
      <c r="M293" s="19">
        <f>AVERAGE(X293:Z293)</f>
        <v>13.666666666666666</v>
      </c>
      <c r="O293" s="19">
        <v>90</v>
      </c>
      <c r="P293" s="19">
        <v>40</v>
      </c>
      <c r="Q293" s="19">
        <v>10</v>
      </c>
      <c r="W293" s="14">
        <v>12</v>
      </c>
      <c r="X293" s="14">
        <v>17</v>
      </c>
      <c r="Y293" s="14">
        <v>12</v>
      </c>
      <c r="Z293" s="14">
        <v>12</v>
      </c>
    </row>
    <row r="294" spans="1:38" hidden="1" x14ac:dyDescent="0.25">
      <c r="A294" s="21" t="s">
        <v>26</v>
      </c>
      <c r="B294" s="27" t="s">
        <v>172</v>
      </c>
      <c r="C294" s="3">
        <v>2014</v>
      </c>
      <c r="D294" s="3">
        <v>1</v>
      </c>
      <c r="E294" s="3" t="s">
        <v>37</v>
      </c>
      <c r="F294" s="3" t="s">
        <v>37</v>
      </c>
      <c r="G294" s="2">
        <v>13</v>
      </c>
      <c r="H294" s="21">
        <v>5</v>
      </c>
      <c r="I294" s="21">
        <f>G294-H294</f>
        <v>8</v>
      </c>
      <c r="J294" s="24">
        <f t="shared" si="42"/>
        <v>0.38461538461538464</v>
      </c>
      <c r="K294" s="2">
        <v>0.25</v>
      </c>
      <c r="L294" s="27">
        <f t="shared" si="43"/>
        <v>13</v>
      </c>
      <c r="M294" s="27">
        <v>5</v>
      </c>
      <c r="N294" s="27"/>
      <c r="O294" s="27">
        <v>80</v>
      </c>
      <c r="P294" s="27"/>
      <c r="Q294" s="27"/>
      <c r="R294" s="27"/>
      <c r="S294" s="27"/>
      <c r="AC294" s="2" t="s">
        <v>160</v>
      </c>
      <c r="AD294" s="3" t="s">
        <v>171</v>
      </c>
      <c r="AE294" s="3">
        <v>2.1538461538461537</v>
      </c>
      <c r="AF294" s="2">
        <v>939.69230769230774</v>
      </c>
      <c r="AG294" s="30">
        <v>43.3</v>
      </c>
      <c r="AH294" s="30">
        <v>1</v>
      </c>
      <c r="AI294" s="30">
        <v>1</v>
      </c>
      <c r="AJ294" s="30">
        <v>1</v>
      </c>
      <c r="AK294" s="30"/>
      <c r="AL294" s="30"/>
    </row>
    <row r="295" spans="1:38" hidden="1" x14ac:dyDescent="0.25">
      <c r="A295" s="21" t="s">
        <v>26</v>
      </c>
      <c r="B295" s="27" t="s">
        <v>172</v>
      </c>
      <c r="C295" s="3">
        <v>2015</v>
      </c>
      <c r="D295" s="3">
        <v>1</v>
      </c>
      <c r="E295" s="3" t="s">
        <v>37</v>
      </c>
      <c r="F295" s="3" t="s">
        <v>37</v>
      </c>
      <c r="G295" s="2">
        <v>28</v>
      </c>
      <c r="H295" s="21">
        <v>11</v>
      </c>
      <c r="I295" s="21">
        <f>G295-H295</f>
        <v>17</v>
      </c>
      <c r="J295" s="24">
        <f t="shared" si="42"/>
        <v>0.39285714285714285</v>
      </c>
      <c r="K295" s="2">
        <v>0.25</v>
      </c>
      <c r="L295" s="27">
        <f t="shared" si="43"/>
        <v>28</v>
      </c>
      <c r="M295" s="27" t="s">
        <v>37</v>
      </c>
      <c r="N295" s="27"/>
      <c r="O295" s="27" t="s">
        <v>37</v>
      </c>
      <c r="P295" s="27"/>
      <c r="Q295" s="27"/>
      <c r="R295" s="27"/>
      <c r="S295" s="27"/>
      <c r="AC295" s="2" t="s">
        <v>160</v>
      </c>
      <c r="AD295" s="3" t="s">
        <v>171</v>
      </c>
      <c r="AE295" s="3">
        <v>0.7857142857142857</v>
      </c>
      <c r="AF295" s="2">
        <v>754.07142857142856</v>
      </c>
      <c r="AG295" s="30" t="s">
        <v>37</v>
      </c>
      <c r="AH295" s="30">
        <v>1</v>
      </c>
      <c r="AI295" s="30">
        <v>2</v>
      </c>
      <c r="AJ295" s="30">
        <v>0</v>
      </c>
      <c r="AK295" s="30"/>
      <c r="AL295" s="30"/>
    </row>
    <row r="296" spans="1:38" hidden="1" x14ac:dyDescent="0.25">
      <c r="A296" s="21" t="s">
        <v>26</v>
      </c>
      <c r="B296" s="27" t="s">
        <v>172</v>
      </c>
      <c r="C296" s="3">
        <v>2016</v>
      </c>
      <c r="D296" s="3">
        <v>1</v>
      </c>
      <c r="E296" s="3" t="s">
        <v>37</v>
      </c>
      <c r="F296" s="3" t="s">
        <v>37</v>
      </c>
      <c r="G296" s="25">
        <v>22</v>
      </c>
      <c r="H296" s="23">
        <v>7</v>
      </c>
      <c r="I296" s="21">
        <f>G296-H296</f>
        <v>15</v>
      </c>
      <c r="J296" s="24">
        <f t="shared" si="42"/>
        <v>0.31818181818181818</v>
      </c>
      <c r="K296" s="2">
        <v>0.25</v>
      </c>
      <c r="L296" s="27">
        <f t="shared" si="43"/>
        <v>22</v>
      </c>
      <c r="M296" s="27">
        <v>8.375</v>
      </c>
      <c r="N296" s="27"/>
      <c r="O296" s="27">
        <v>90</v>
      </c>
      <c r="P296" s="27"/>
      <c r="Q296" s="27"/>
      <c r="R296" s="27"/>
      <c r="S296" s="27"/>
      <c r="AC296" s="2" t="s">
        <v>160</v>
      </c>
      <c r="AD296" s="3" t="s">
        <v>171</v>
      </c>
      <c r="AE296" s="3">
        <v>1.5</v>
      </c>
      <c r="AF296" s="2">
        <v>728.59090000000003</v>
      </c>
      <c r="AG296" s="30">
        <v>62.024999999999999</v>
      </c>
      <c r="AH296" s="30">
        <v>1</v>
      </c>
      <c r="AI296" s="30">
        <v>2</v>
      </c>
      <c r="AJ296" s="30">
        <v>0</v>
      </c>
      <c r="AK296" s="30"/>
      <c r="AL296" s="30"/>
    </row>
    <row r="297" spans="1:38" hidden="1" x14ac:dyDescent="0.25">
      <c r="A297" s="21" t="s">
        <v>26</v>
      </c>
      <c r="B297" s="27" t="s">
        <v>172</v>
      </c>
      <c r="C297" s="3">
        <v>2017</v>
      </c>
      <c r="D297" s="3">
        <v>1</v>
      </c>
      <c r="E297" s="3" t="s">
        <v>37</v>
      </c>
      <c r="F297" s="3" t="s">
        <v>37</v>
      </c>
      <c r="G297" s="25">
        <v>33</v>
      </c>
      <c r="H297" s="23">
        <v>14</v>
      </c>
      <c r="I297" s="21">
        <f>G297-H297</f>
        <v>19</v>
      </c>
      <c r="J297" s="24">
        <f t="shared" si="42"/>
        <v>0.42424242424242425</v>
      </c>
      <c r="K297" s="2">
        <v>0.25</v>
      </c>
      <c r="L297" s="27">
        <f t="shared" si="43"/>
        <v>33</v>
      </c>
      <c r="M297" s="27">
        <v>8.5</v>
      </c>
      <c r="N297" s="27"/>
      <c r="O297" s="27">
        <v>95</v>
      </c>
      <c r="P297" s="27"/>
      <c r="Q297" s="27"/>
      <c r="R297" s="27"/>
      <c r="S297" s="27"/>
      <c r="T297" s="30"/>
      <c r="U297" s="30"/>
      <c r="V297" s="30"/>
      <c r="W297" s="30"/>
      <c r="X297" s="30"/>
      <c r="Y297" s="30"/>
      <c r="Z297" s="30"/>
      <c r="AA297" s="30"/>
      <c r="AB297" s="30"/>
      <c r="AC297" s="2" t="s">
        <v>160</v>
      </c>
      <c r="AD297" s="3" t="s">
        <v>171</v>
      </c>
      <c r="AE297" s="3">
        <v>1.2121212121212122</v>
      </c>
      <c r="AF297" s="2">
        <v>775.69696969696975</v>
      </c>
      <c r="AG297" s="30">
        <v>56.4</v>
      </c>
      <c r="AH297" s="30">
        <v>1</v>
      </c>
      <c r="AI297" s="30">
        <v>2</v>
      </c>
      <c r="AJ297" s="30">
        <v>0</v>
      </c>
      <c r="AK297" s="30"/>
      <c r="AL297" s="30"/>
    </row>
    <row r="298" spans="1:38" hidden="1" x14ac:dyDescent="0.25">
      <c r="A298" s="21" t="s">
        <v>26</v>
      </c>
      <c r="B298" s="27" t="s">
        <v>172</v>
      </c>
      <c r="C298" s="3">
        <v>2018</v>
      </c>
      <c r="D298" s="3">
        <v>1</v>
      </c>
      <c r="E298" s="3" t="s">
        <v>37</v>
      </c>
      <c r="F298" s="3" t="s">
        <v>37</v>
      </c>
      <c r="G298" s="30" t="s">
        <v>37</v>
      </c>
      <c r="H298" s="27" t="s">
        <v>37</v>
      </c>
      <c r="I298" s="27" t="s">
        <v>37</v>
      </c>
      <c r="J298" s="27" t="s">
        <v>37</v>
      </c>
      <c r="K298" s="2" t="s">
        <v>37</v>
      </c>
      <c r="L298" s="24" t="s">
        <v>37</v>
      </c>
      <c r="M298" s="27" t="s">
        <v>37</v>
      </c>
      <c r="N298" s="27"/>
      <c r="O298" s="27" t="s">
        <v>37</v>
      </c>
      <c r="P298" s="27"/>
      <c r="Q298" s="27"/>
      <c r="R298" s="27"/>
      <c r="S298" s="27"/>
      <c r="T298" s="30"/>
      <c r="U298" s="30"/>
      <c r="V298" s="30"/>
      <c r="W298" s="30"/>
      <c r="X298" s="30"/>
      <c r="Y298" s="30"/>
      <c r="Z298" s="30"/>
      <c r="AA298" s="30"/>
      <c r="AB298" s="30"/>
      <c r="AC298" s="2" t="s">
        <v>178</v>
      </c>
      <c r="AD298" s="3" t="s">
        <v>171</v>
      </c>
      <c r="AE298" s="3" t="s">
        <v>37</v>
      </c>
      <c r="AF298" s="30" t="s">
        <v>37</v>
      </c>
      <c r="AG298" s="30" t="s">
        <v>37</v>
      </c>
      <c r="AH298" s="30">
        <v>1</v>
      </c>
      <c r="AI298" s="30">
        <v>2</v>
      </c>
      <c r="AJ298" s="30">
        <v>0</v>
      </c>
      <c r="AK298" s="30"/>
      <c r="AL298" s="30"/>
    </row>
    <row r="299" spans="1:38" hidden="1" x14ac:dyDescent="0.25">
      <c r="A299" s="21" t="s">
        <v>26</v>
      </c>
      <c r="B299" s="27" t="s">
        <v>172</v>
      </c>
      <c r="C299" s="3">
        <v>2019</v>
      </c>
      <c r="D299" s="3">
        <v>1</v>
      </c>
      <c r="E299" s="3" t="s">
        <v>37</v>
      </c>
      <c r="F299" s="3" t="s">
        <v>37</v>
      </c>
      <c r="G299" s="30">
        <f t="shared" ref="G299:G304" si="44">SUM(H299:I299)</f>
        <v>40</v>
      </c>
      <c r="H299" s="27">
        <v>16</v>
      </c>
      <c r="I299" s="21">
        <v>24</v>
      </c>
      <c r="J299" s="24">
        <f t="shared" ref="J299:J308" si="45">H299/G299</f>
        <v>0.4</v>
      </c>
      <c r="K299" s="30">
        <v>0.25</v>
      </c>
      <c r="L299" s="27">
        <f t="shared" ref="L299:L308" si="46">G299/(K299/0.25)</f>
        <v>40</v>
      </c>
      <c r="M299" s="27">
        <f>(12+17+10+8)/4</f>
        <v>11.75</v>
      </c>
      <c r="N299" s="27"/>
      <c r="O299" s="27">
        <v>80</v>
      </c>
      <c r="P299" s="27">
        <v>20</v>
      </c>
      <c r="Q299" s="27"/>
      <c r="R299" s="27"/>
      <c r="S299" s="27"/>
      <c r="T299" s="30"/>
      <c r="U299" s="30"/>
      <c r="V299" s="30"/>
      <c r="W299" s="30"/>
      <c r="X299" s="30"/>
      <c r="Y299" s="30"/>
      <c r="Z299" s="30"/>
      <c r="AA299" s="30"/>
      <c r="AB299" s="30"/>
      <c r="AC299" s="2" t="s">
        <v>178</v>
      </c>
      <c r="AD299" s="3" t="s">
        <v>171</v>
      </c>
      <c r="AE299" s="3">
        <v>1.2749999999999999</v>
      </c>
      <c r="AF299" s="30" t="s">
        <v>37</v>
      </c>
      <c r="AG299" s="30" t="s">
        <v>37</v>
      </c>
      <c r="AH299" s="30">
        <v>1</v>
      </c>
      <c r="AI299" s="30">
        <v>2</v>
      </c>
      <c r="AJ299" s="30">
        <v>0</v>
      </c>
      <c r="AK299" s="32">
        <v>43623</v>
      </c>
      <c r="AL299" s="30">
        <v>7</v>
      </c>
    </row>
    <row r="300" spans="1:38" hidden="1" x14ac:dyDescent="0.25">
      <c r="A300" s="21" t="s">
        <v>26</v>
      </c>
      <c r="B300" s="27" t="s">
        <v>172</v>
      </c>
      <c r="C300" s="3">
        <v>2020</v>
      </c>
      <c r="D300" s="3">
        <v>1</v>
      </c>
      <c r="E300" s="3" t="s">
        <v>37</v>
      </c>
      <c r="F300" s="3" t="s">
        <v>37</v>
      </c>
      <c r="G300" s="30">
        <f t="shared" si="44"/>
        <v>51</v>
      </c>
      <c r="H300" s="27">
        <v>10</v>
      </c>
      <c r="I300" s="21">
        <v>41</v>
      </c>
      <c r="J300" s="24">
        <f t="shared" si="45"/>
        <v>0.19607843137254902</v>
      </c>
      <c r="K300" s="30">
        <v>0.25</v>
      </c>
      <c r="L300" s="27">
        <f t="shared" si="46"/>
        <v>51</v>
      </c>
      <c r="M300" s="27">
        <v>18.25</v>
      </c>
      <c r="N300" s="27"/>
      <c r="O300" s="27">
        <v>90</v>
      </c>
      <c r="P300" s="27">
        <v>0</v>
      </c>
      <c r="Q300" s="27"/>
      <c r="R300" s="27"/>
      <c r="S300" s="27"/>
      <c r="T300" s="30"/>
      <c r="U300" s="30"/>
      <c r="V300" s="30"/>
      <c r="W300" s="30"/>
      <c r="X300" s="30"/>
      <c r="Y300" s="30"/>
      <c r="Z300" s="30"/>
      <c r="AA300" s="30"/>
      <c r="AB300" s="30"/>
      <c r="AC300" s="2" t="s">
        <v>178</v>
      </c>
      <c r="AD300" s="3" t="s">
        <v>171</v>
      </c>
      <c r="AE300" s="3" t="s">
        <v>37</v>
      </c>
      <c r="AF300" s="30" t="s">
        <v>37</v>
      </c>
      <c r="AG300" s="30"/>
      <c r="AH300" s="30">
        <v>1</v>
      </c>
      <c r="AI300" s="30">
        <v>2</v>
      </c>
      <c r="AJ300" s="30">
        <v>0</v>
      </c>
      <c r="AK300" s="32" t="s">
        <v>163</v>
      </c>
      <c r="AL300" s="30"/>
    </row>
    <row r="301" spans="1:38" hidden="1" x14ac:dyDescent="0.25">
      <c r="A301" s="27" t="s">
        <v>26</v>
      </c>
      <c r="B301" s="27" t="s">
        <v>172</v>
      </c>
      <c r="C301" s="34">
        <v>2021</v>
      </c>
      <c r="D301" s="34">
        <v>1</v>
      </c>
      <c r="E301" s="30" t="s">
        <v>37</v>
      </c>
      <c r="F301" s="30" t="s">
        <v>37</v>
      </c>
      <c r="G301" s="30">
        <f t="shared" si="44"/>
        <v>34</v>
      </c>
      <c r="H301" s="27">
        <v>9</v>
      </c>
      <c r="I301" s="27">
        <v>25</v>
      </c>
      <c r="J301" s="24">
        <f t="shared" si="45"/>
        <v>0.26470588235294118</v>
      </c>
      <c r="K301" s="30">
        <v>0.25</v>
      </c>
      <c r="L301" s="27">
        <f t="shared" si="46"/>
        <v>34</v>
      </c>
      <c r="M301" s="27">
        <f>AVERAGE(W301:Z301)</f>
        <v>19.25</v>
      </c>
      <c r="N301" s="27"/>
      <c r="O301" s="27">
        <v>95</v>
      </c>
      <c r="P301" s="27">
        <v>5</v>
      </c>
      <c r="Q301" s="27">
        <v>5</v>
      </c>
      <c r="R301" s="27">
        <v>2</v>
      </c>
      <c r="S301" s="27" t="s">
        <v>102</v>
      </c>
      <c r="T301" s="30"/>
      <c r="U301" s="30"/>
      <c r="V301" s="30"/>
      <c r="W301" s="30">
        <v>21</v>
      </c>
      <c r="X301" s="30">
        <v>22</v>
      </c>
      <c r="Y301" s="30">
        <v>23</v>
      </c>
      <c r="Z301" s="30">
        <v>11</v>
      </c>
      <c r="AA301" s="30"/>
      <c r="AB301" s="30"/>
      <c r="AC301" s="2" t="s">
        <v>178</v>
      </c>
      <c r="AD301" s="30" t="s">
        <v>171</v>
      </c>
      <c r="AE301" s="30" t="s">
        <v>37</v>
      </c>
      <c r="AF301" s="30" t="s">
        <v>37</v>
      </c>
      <c r="AG301" s="30" t="s">
        <v>37</v>
      </c>
      <c r="AH301" s="30">
        <v>1</v>
      </c>
      <c r="AI301" s="30">
        <v>2</v>
      </c>
      <c r="AJ301" s="30">
        <v>0</v>
      </c>
      <c r="AK301" s="32">
        <v>44379</v>
      </c>
      <c r="AL301" s="30"/>
    </row>
    <row r="302" spans="1:38" hidden="1" x14ac:dyDescent="0.25">
      <c r="A302" s="40" t="s">
        <v>26</v>
      </c>
      <c r="B302" s="40" t="s">
        <v>172</v>
      </c>
      <c r="C302" s="34">
        <v>2022</v>
      </c>
      <c r="D302" s="34">
        <v>1</v>
      </c>
      <c r="E302" s="30" t="s">
        <v>37</v>
      </c>
      <c r="F302" s="30" t="s">
        <v>37</v>
      </c>
      <c r="G302" s="30">
        <f t="shared" si="44"/>
        <v>33</v>
      </c>
      <c r="H302" s="27">
        <v>11</v>
      </c>
      <c r="I302" s="27">
        <v>22</v>
      </c>
      <c r="J302" s="24">
        <f t="shared" si="45"/>
        <v>0.33333333333333331</v>
      </c>
      <c r="K302" s="30">
        <v>0.25</v>
      </c>
      <c r="L302" s="27">
        <f t="shared" si="46"/>
        <v>33</v>
      </c>
      <c r="M302" s="27">
        <f>AVERAGE(W302:Z302)</f>
        <v>18</v>
      </c>
      <c r="N302" s="27"/>
      <c r="O302" s="27">
        <v>98</v>
      </c>
      <c r="P302" s="27">
        <v>2</v>
      </c>
      <c r="Q302" s="27">
        <v>2</v>
      </c>
      <c r="R302" s="27">
        <v>3</v>
      </c>
      <c r="S302" s="40" t="s">
        <v>102</v>
      </c>
      <c r="T302" s="41" t="s">
        <v>503</v>
      </c>
      <c r="U302" s="30">
        <v>0.1</v>
      </c>
      <c r="V302" s="30"/>
      <c r="W302" s="30">
        <v>17</v>
      </c>
      <c r="X302" s="30">
        <v>14</v>
      </c>
      <c r="Y302" s="30">
        <v>20</v>
      </c>
      <c r="Z302" s="30">
        <v>21</v>
      </c>
      <c r="AA302" s="30"/>
      <c r="AB302" s="30"/>
      <c r="AD302" s="30"/>
      <c r="AE302" s="30"/>
      <c r="AF302" s="41" t="s">
        <v>37</v>
      </c>
      <c r="AG302" s="30"/>
      <c r="AH302" s="30"/>
      <c r="AI302" s="30"/>
      <c r="AJ302" s="30"/>
      <c r="AK302" s="32">
        <v>44747</v>
      </c>
      <c r="AL302" s="30"/>
    </row>
    <row r="303" spans="1:38" hidden="1" x14ac:dyDescent="0.25">
      <c r="A303" s="40" t="s">
        <v>26</v>
      </c>
      <c r="B303" s="40" t="s">
        <v>172</v>
      </c>
      <c r="C303" s="34">
        <v>2023</v>
      </c>
      <c r="D303" s="34">
        <v>1</v>
      </c>
      <c r="E303" s="30" t="s">
        <v>37</v>
      </c>
      <c r="F303" s="30" t="s">
        <v>37</v>
      </c>
      <c r="G303" s="30">
        <f t="shared" si="44"/>
        <v>113</v>
      </c>
      <c r="H303" s="27">
        <v>40</v>
      </c>
      <c r="I303" s="27">
        <v>73</v>
      </c>
      <c r="J303" s="24">
        <f t="shared" si="45"/>
        <v>0.35398230088495575</v>
      </c>
      <c r="K303" s="30">
        <v>0.25</v>
      </c>
      <c r="L303" s="27">
        <f t="shared" si="46"/>
        <v>113</v>
      </c>
      <c r="M303" s="27">
        <f>AVERAGE(W303:Z303)</f>
        <v>20.25</v>
      </c>
      <c r="N303" s="19">
        <f>AVERAGE(AA303:AB303)</f>
        <v>29</v>
      </c>
      <c r="O303" s="27">
        <v>100</v>
      </c>
      <c r="P303" s="59" t="s">
        <v>37</v>
      </c>
      <c r="Q303" s="59" t="s">
        <v>37</v>
      </c>
      <c r="R303" s="59" t="s">
        <v>646</v>
      </c>
      <c r="S303" s="59" t="s">
        <v>574</v>
      </c>
      <c r="T303" s="57" t="s">
        <v>506</v>
      </c>
      <c r="U303" s="30">
        <v>4</v>
      </c>
      <c r="V303" s="30"/>
      <c r="W303" s="30">
        <v>23</v>
      </c>
      <c r="X303" s="30">
        <v>11</v>
      </c>
      <c r="Y303" s="30">
        <v>21</v>
      </c>
      <c r="Z303" s="30">
        <v>26</v>
      </c>
      <c r="AA303" s="30">
        <v>21</v>
      </c>
      <c r="AB303" s="30">
        <v>37</v>
      </c>
      <c r="AD303" s="30"/>
      <c r="AE303" s="30"/>
      <c r="AF303" s="41" t="s">
        <v>37</v>
      </c>
      <c r="AG303" s="30"/>
      <c r="AH303" s="57" t="s">
        <v>577</v>
      </c>
      <c r="AI303" s="30"/>
      <c r="AJ303" s="30"/>
      <c r="AK303" s="32">
        <v>44747</v>
      </c>
      <c r="AL303" s="30"/>
    </row>
    <row r="304" spans="1:38" hidden="1" x14ac:dyDescent="0.25">
      <c r="A304" s="40" t="s">
        <v>26</v>
      </c>
      <c r="B304" s="40" t="s">
        <v>172</v>
      </c>
      <c r="C304" s="34">
        <v>2024</v>
      </c>
      <c r="D304" s="34">
        <v>1</v>
      </c>
      <c r="E304" s="30" t="s">
        <v>37</v>
      </c>
      <c r="F304" s="30" t="s">
        <v>37</v>
      </c>
      <c r="G304" s="14">
        <f t="shared" si="44"/>
        <v>93</v>
      </c>
      <c r="H304" s="19">
        <v>21</v>
      </c>
      <c r="I304" s="19">
        <v>72</v>
      </c>
      <c r="J304" s="24">
        <f t="shared" si="45"/>
        <v>0.22580645161290322</v>
      </c>
      <c r="K304" s="14">
        <v>0.25</v>
      </c>
      <c r="L304" s="19">
        <f t="shared" si="46"/>
        <v>93</v>
      </c>
      <c r="M304" s="19">
        <f>AVERAGE(X304:Z304)</f>
        <v>18.333333333333332</v>
      </c>
      <c r="O304" s="19">
        <v>90</v>
      </c>
      <c r="P304" s="19">
        <v>0</v>
      </c>
      <c r="Q304" s="19">
        <v>8</v>
      </c>
      <c r="W304" s="14">
        <v>15</v>
      </c>
      <c r="X304" s="14">
        <v>24</v>
      </c>
      <c r="Y304" s="14">
        <v>11</v>
      </c>
      <c r="Z304" s="14">
        <v>20</v>
      </c>
    </row>
    <row r="305" spans="1:38" hidden="1" x14ac:dyDescent="0.25">
      <c r="A305" s="21" t="s">
        <v>26</v>
      </c>
      <c r="B305" s="27" t="s">
        <v>174</v>
      </c>
      <c r="C305" s="3">
        <v>2014</v>
      </c>
      <c r="D305" s="3">
        <v>1</v>
      </c>
      <c r="E305" s="3" t="s">
        <v>37</v>
      </c>
      <c r="F305" s="3" t="s">
        <v>37</v>
      </c>
      <c r="G305" s="2">
        <v>6</v>
      </c>
      <c r="H305" s="21">
        <v>3</v>
      </c>
      <c r="I305" s="21">
        <f>G305-H305</f>
        <v>3</v>
      </c>
      <c r="J305" s="24">
        <f t="shared" si="45"/>
        <v>0.5</v>
      </c>
      <c r="K305" s="2">
        <v>0.25</v>
      </c>
      <c r="L305" s="27">
        <f t="shared" si="46"/>
        <v>6</v>
      </c>
      <c r="M305" s="27">
        <v>19</v>
      </c>
      <c r="N305" s="27"/>
      <c r="O305" s="27">
        <v>90</v>
      </c>
      <c r="P305" s="27"/>
      <c r="Q305" s="27"/>
      <c r="R305" s="27"/>
      <c r="S305" s="27"/>
      <c r="T305" s="30"/>
      <c r="U305" s="30"/>
      <c r="V305" s="30"/>
      <c r="W305" s="30"/>
      <c r="X305" s="30"/>
      <c r="Y305" s="30"/>
      <c r="Z305" s="30"/>
      <c r="AA305" s="30"/>
      <c r="AB305" s="30"/>
      <c r="AC305" s="2" t="s">
        <v>160</v>
      </c>
      <c r="AD305" s="3" t="s">
        <v>173</v>
      </c>
      <c r="AE305" s="3">
        <v>0.83333333333333337</v>
      </c>
      <c r="AF305" s="2">
        <v>2601.3333333333335</v>
      </c>
      <c r="AG305" s="30">
        <v>54.3</v>
      </c>
      <c r="AH305" s="30">
        <v>1</v>
      </c>
      <c r="AI305" s="30">
        <v>1</v>
      </c>
      <c r="AJ305" s="30">
        <v>1</v>
      </c>
      <c r="AK305" s="30"/>
      <c r="AL305" s="30"/>
    </row>
    <row r="306" spans="1:38" hidden="1" x14ac:dyDescent="0.25">
      <c r="A306" s="21" t="s">
        <v>26</v>
      </c>
      <c r="B306" s="27" t="s">
        <v>174</v>
      </c>
      <c r="C306" s="3">
        <v>2015</v>
      </c>
      <c r="D306" s="3">
        <v>1</v>
      </c>
      <c r="E306" s="3" t="s">
        <v>37</v>
      </c>
      <c r="F306" s="3" t="s">
        <v>37</v>
      </c>
      <c r="G306" s="2">
        <v>5</v>
      </c>
      <c r="H306" s="21">
        <v>0</v>
      </c>
      <c r="I306" s="21">
        <f>G306-H306</f>
        <v>5</v>
      </c>
      <c r="J306" s="24">
        <f t="shared" si="45"/>
        <v>0</v>
      </c>
      <c r="K306" s="2">
        <v>0.25</v>
      </c>
      <c r="L306" s="27">
        <f t="shared" si="46"/>
        <v>5</v>
      </c>
      <c r="M306" s="27" t="s">
        <v>37</v>
      </c>
      <c r="N306" s="27"/>
      <c r="O306" s="27" t="s">
        <v>37</v>
      </c>
      <c r="P306" s="27"/>
      <c r="Q306" s="27"/>
      <c r="R306" s="27"/>
      <c r="S306" s="27"/>
      <c r="T306" s="30"/>
      <c r="U306" s="30"/>
      <c r="V306" s="30"/>
      <c r="W306" s="30"/>
      <c r="X306" s="30"/>
      <c r="Y306" s="30"/>
      <c r="Z306" s="30"/>
      <c r="AA306" s="30"/>
      <c r="AB306" s="30"/>
      <c r="AC306" s="2" t="s">
        <v>160</v>
      </c>
      <c r="AD306" s="3" t="s">
        <v>173</v>
      </c>
      <c r="AE306" s="3">
        <v>3.6</v>
      </c>
      <c r="AF306" s="2">
        <v>1121</v>
      </c>
      <c r="AG306" s="30" t="s">
        <v>37</v>
      </c>
      <c r="AH306" s="30">
        <v>1</v>
      </c>
      <c r="AI306" s="30">
        <v>2</v>
      </c>
      <c r="AJ306" s="30">
        <v>0</v>
      </c>
      <c r="AK306" s="30"/>
      <c r="AL306" s="30"/>
    </row>
    <row r="307" spans="1:38" hidden="1" x14ac:dyDescent="0.25">
      <c r="A307" s="21" t="s">
        <v>26</v>
      </c>
      <c r="B307" s="27" t="s">
        <v>174</v>
      </c>
      <c r="C307" s="3">
        <v>2016</v>
      </c>
      <c r="D307" s="3">
        <v>1</v>
      </c>
      <c r="E307" s="3" t="s">
        <v>37</v>
      </c>
      <c r="F307" s="3" t="s">
        <v>37</v>
      </c>
      <c r="G307" s="25">
        <v>18</v>
      </c>
      <c r="H307" s="23">
        <v>5</v>
      </c>
      <c r="I307" s="21">
        <f>G307-H307</f>
        <v>13</v>
      </c>
      <c r="J307" s="24">
        <f t="shared" si="45"/>
        <v>0.27777777777777779</v>
      </c>
      <c r="K307" s="2">
        <v>0.25</v>
      </c>
      <c r="L307" s="27">
        <f t="shared" si="46"/>
        <v>18</v>
      </c>
      <c r="M307" s="27">
        <v>26</v>
      </c>
      <c r="N307" s="27"/>
      <c r="O307" s="27">
        <v>100</v>
      </c>
      <c r="P307" s="27"/>
      <c r="Q307" s="27"/>
      <c r="R307" s="27"/>
      <c r="S307" s="27"/>
      <c r="T307" s="30"/>
      <c r="U307" s="30"/>
      <c r="V307" s="30"/>
      <c r="W307" s="30"/>
      <c r="X307" s="30"/>
      <c r="Y307" s="30"/>
      <c r="Z307" s="30"/>
      <c r="AA307" s="30"/>
      <c r="AB307" s="30"/>
      <c r="AC307" s="2" t="s">
        <v>160</v>
      </c>
      <c r="AD307" s="3" t="s">
        <v>173</v>
      </c>
      <c r="AE307" s="3">
        <v>1.0555555555555556</v>
      </c>
      <c r="AF307" s="2">
        <v>1327.556</v>
      </c>
      <c r="AG307" s="30">
        <v>71.650000000000006</v>
      </c>
      <c r="AH307" s="30">
        <v>1</v>
      </c>
      <c r="AI307" s="30">
        <v>2</v>
      </c>
      <c r="AJ307" s="30">
        <v>0</v>
      </c>
      <c r="AK307" s="30"/>
      <c r="AL307" s="30"/>
    </row>
    <row r="308" spans="1:38" hidden="1" x14ac:dyDescent="0.25">
      <c r="A308" s="21" t="s">
        <v>26</v>
      </c>
      <c r="B308" s="27" t="s">
        <v>174</v>
      </c>
      <c r="C308" s="3">
        <v>2017</v>
      </c>
      <c r="D308" s="3">
        <v>1</v>
      </c>
      <c r="E308" s="3" t="s">
        <v>37</v>
      </c>
      <c r="F308" s="3" t="s">
        <v>37</v>
      </c>
      <c r="G308" s="25">
        <v>19</v>
      </c>
      <c r="H308" s="23">
        <v>5</v>
      </c>
      <c r="I308" s="21">
        <f>G308-H308</f>
        <v>14</v>
      </c>
      <c r="J308" s="24">
        <f t="shared" si="45"/>
        <v>0.26315789473684209</v>
      </c>
      <c r="K308" s="2">
        <v>0.25</v>
      </c>
      <c r="L308" s="27">
        <f t="shared" si="46"/>
        <v>19</v>
      </c>
      <c r="M308" s="27">
        <v>16.75</v>
      </c>
      <c r="N308" s="27"/>
      <c r="O308" s="27">
        <v>100</v>
      </c>
      <c r="P308" s="27"/>
      <c r="Q308" s="27"/>
      <c r="R308" s="27"/>
      <c r="S308" s="27"/>
      <c r="T308" s="30"/>
      <c r="U308" s="30"/>
      <c r="V308" s="30"/>
      <c r="W308" s="30"/>
      <c r="X308" s="30"/>
      <c r="Y308" s="30"/>
      <c r="Z308" s="30"/>
      <c r="AA308" s="30"/>
      <c r="AB308" s="30"/>
      <c r="AC308" s="2" t="s">
        <v>160</v>
      </c>
      <c r="AD308" s="3" t="s">
        <v>173</v>
      </c>
      <c r="AE308" s="3">
        <v>0.63157894736842102</v>
      </c>
      <c r="AF308" s="2">
        <v>1323.6842105263158</v>
      </c>
      <c r="AG308" s="30">
        <v>51.75</v>
      </c>
      <c r="AH308" s="30">
        <v>1</v>
      </c>
      <c r="AI308" s="30">
        <v>2</v>
      </c>
      <c r="AJ308" s="30">
        <v>0</v>
      </c>
      <c r="AK308" s="30"/>
      <c r="AL308" s="30"/>
    </row>
    <row r="309" spans="1:38" hidden="1" x14ac:dyDescent="0.25">
      <c r="A309" s="21" t="s">
        <v>26</v>
      </c>
      <c r="B309" s="27" t="s">
        <v>174</v>
      </c>
      <c r="C309" s="3">
        <v>2018</v>
      </c>
      <c r="D309" s="3">
        <v>1</v>
      </c>
      <c r="E309" s="3" t="s">
        <v>37</v>
      </c>
      <c r="F309" s="3" t="s">
        <v>37</v>
      </c>
      <c r="G309" s="30" t="s">
        <v>37</v>
      </c>
      <c r="H309" s="27" t="s">
        <v>37</v>
      </c>
      <c r="I309" s="27" t="s">
        <v>37</v>
      </c>
      <c r="J309" s="27" t="s">
        <v>37</v>
      </c>
      <c r="K309" s="2" t="s">
        <v>37</v>
      </c>
      <c r="L309" s="24" t="s">
        <v>37</v>
      </c>
      <c r="M309" s="27" t="s">
        <v>37</v>
      </c>
      <c r="N309" s="27"/>
      <c r="O309" s="27" t="s">
        <v>37</v>
      </c>
      <c r="P309" s="27"/>
      <c r="Q309" s="27"/>
      <c r="R309" s="27"/>
      <c r="S309" s="27"/>
      <c r="T309" s="30"/>
      <c r="U309" s="30"/>
      <c r="V309" s="30"/>
      <c r="W309" s="30"/>
      <c r="X309" s="30"/>
      <c r="Y309" s="30"/>
      <c r="Z309" s="30"/>
      <c r="AA309" s="30"/>
      <c r="AB309" s="30"/>
      <c r="AC309" s="2" t="s">
        <v>178</v>
      </c>
      <c r="AD309" s="3" t="s">
        <v>173</v>
      </c>
      <c r="AE309" s="3" t="s">
        <v>37</v>
      </c>
      <c r="AF309" s="30" t="s">
        <v>37</v>
      </c>
      <c r="AG309" s="30" t="s">
        <v>37</v>
      </c>
      <c r="AH309" s="30">
        <v>1</v>
      </c>
      <c r="AI309" s="30">
        <v>2</v>
      </c>
      <c r="AJ309" s="30">
        <v>0</v>
      </c>
      <c r="AK309" s="30"/>
      <c r="AL309" s="30"/>
    </row>
    <row r="310" spans="1:38" hidden="1" x14ac:dyDescent="0.25">
      <c r="A310" s="21" t="s">
        <v>26</v>
      </c>
      <c r="B310" s="27" t="s">
        <v>174</v>
      </c>
      <c r="C310" s="3">
        <v>2019</v>
      </c>
      <c r="D310" s="3">
        <v>1</v>
      </c>
      <c r="E310" s="3" t="s">
        <v>37</v>
      </c>
      <c r="F310" s="3" t="s">
        <v>37</v>
      </c>
      <c r="G310" s="30">
        <f t="shared" ref="G310:G315" si="47">SUM(H310:I310)</f>
        <v>12</v>
      </c>
      <c r="H310" s="27">
        <v>3</v>
      </c>
      <c r="I310" s="21">
        <v>9</v>
      </c>
      <c r="J310" s="24">
        <f t="shared" ref="J310:J319" si="48">H310/G310</f>
        <v>0.25</v>
      </c>
      <c r="K310" s="30">
        <v>0.25</v>
      </c>
      <c r="L310" s="27">
        <f t="shared" ref="L310:L319" si="49">G310/(K310/0.25)</f>
        <v>12</v>
      </c>
      <c r="M310" s="27">
        <f>(8+10+15+15)/4</f>
        <v>12</v>
      </c>
      <c r="N310" s="27"/>
      <c r="O310" s="27">
        <v>80</v>
      </c>
      <c r="P310" s="27">
        <v>10</v>
      </c>
      <c r="Q310" s="27"/>
      <c r="R310" s="27"/>
      <c r="S310" s="27"/>
      <c r="T310" s="30"/>
      <c r="U310" s="30"/>
      <c r="V310" s="30"/>
      <c r="W310" s="30"/>
      <c r="X310" s="30"/>
      <c r="Y310" s="30"/>
      <c r="Z310" s="30"/>
      <c r="AA310" s="30"/>
      <c r="AB310" s="30"/>
      <c r="AC310" s="2" t="s">
        <v>178</v>
      </c>
      <c r="AD310" s="3" t="s">
        <v>173</v>
      </c>
      <c r="AE310" s="3">
        <v>2</v>
      </c>
      <c r="AF310" s="30" t="s">
        <v>37</v>
      </c>
      <c r="AG310" s="30" t="s">
        <v>37</v>
      </c>
      <c r="AH310" s="30">
        <v>1</v>
      </c>
      <c r="AI310" s="30">
        <v>2</v>
      </c>
      <c r="AJ310" s="30">
        <v>0</v>
      </c>
      <c r="AK310" s="32">
        <v>43623</v>
      </c>
      <c r="AL310" s="30">
        <v>5</v>
      </c>
    </row>
    <row r="311" spans="1:38" hidden="1" x14ac:dyDescent="0.25">
      <c r="A311" s="21" t="s">
        <v>26</v>
      </c>
      <c r="B311" s="27" t="s">
        <v>174</v>
      </c>
      <c r="C311" s="3">
        <v>2020</v>
      </c>
      <c r="D311" s="3">
        <v>1</v>
      </c>
      <c r="E311" s="3" t="s">
        <v>37</v>
      </c>
      <c r="F311" s="3" t="s">
        <v>37</v>
      </c>
      <c r="G311" s="30">
        <f t="shared" si="47"/>
        <v>24</v>
      </c>
      <c r="H311" s="27">
        <v>14</v>
      </c>
      <c r="I311" s="21">
        <v>10</v>
      </c>
      <c r="J311" s="24">
        <f t="shared" si="48"/>
        <v>0.58333333333333337</v>
      </c>
      <c r="K311" s="30">
        <v>0.25</v>
      </c>
      <c r="L311" s="27">
        <f t="shared" si="49"/>
        <v>24</v>
      </c>
      <c r="M311" s="27">
        <v>25.5</v>
      </c>
      <c r="N311" s="27"/>
      <c r="O311" s="27">
        <v>95</v>
      </c>
      <c r="P311" s="27">
        <v>0</v>
      </c>
      <c r="Q311" s="27"/>
      <c r="R311" s="27"/>
      <c r="S311" s="27"/>
      <c r="T311" s="30"/>
      <c r="U311" s="30"/>
      <c r="V311" s="30"/>
      <c r="W311" s="30"/>
      <c r="X311" s="30"/>
      <c r="Y311" s="30"/>
      <c r="Z311" s="30"/>
      <c r="AA311" s="30"/>
      <c r="AB311" s="30"/>
      <c r="AC311" s="2" t="s">
        <v>178</v>
      </c>
      <c r="AD311" s="3" t="s">
        <v>173</v>
      </c>
      <c r="AE311" s="3" t="s">
        <v>37</v>
      </c>
      <c r="AF311" s="30" t="s">
        <v>37</v>
      </c>
      <c r="AG311" s="30"/>
      <c r="AH311" s="30">
        <v>1</v>
      </c>
      <c r="AI311" s="30">
        <v>2</v>
      </c>
      <c r="AJ311" s="30">
        <v>0</v>
      </c>
      <c r="AK311" s="32" t="s">
        <v>163</v>
      </c>
      <c r="AL311" s="30"/>
    </row>
    <row r="312" spans="1:38" hidden="1" x14ac:dyDescent="0.25">
      <c r="A312" s="27" t="s">
        <v>26</v>
      </c>
      <c r="B312" s="27" t="s">
        <v>174</v>
      </c>
      <c r="C312" s="34">
        <v>2021</v>
      </c>
      <c r="D312" s="34">
        <v>1</v>
      </c>
      <c r="E312" s="30" t="s">
        <v>37</v>
      </c>
      <c r="F312" s="30" t="s">
        <v>37</v>
      </c>
      <c r="G312" s="30">
        <f t="shared" si="47"/>
        <v>15</v>
      </c>
      <c r="H312" s="27">
        <v>4</v>
      </c>
      <c r="I312" s="27">
        <v>11</v>
      </c>
      <c r="J312" s="24">
        <f t="shared" si="48"/>
        <v>0.26666666666666666</v>
      </c>
      <c r="K312" s="30">
        <v>0.25</v>
      </c>
      <c r="L312" s="27">
        <f t="shared" si="49"/>
        <v>15</v>
      </c>
      <c r="M312" s="27">
        <f>AVERAGE(W312:Z312)</f>
        <v>26.5</v>
      </c>
      <c r="N312" s="27"/>
      <c r="O312" s="27">
        <v>98</v>
      </c>
      <c r="P312" s="27">
        <v>2</v>
      </c>
      <c r="Q312" s="27">
        <v>2</v>
      </c>
      <c r="R312" s="27">
        <v>0</v>
      </c>
      <c r="S312" s="27"/>
      <c r="T312" s="30"/>
      <c r="U312" s="30"/>
      <c r="V312" s="30"/>
      <c r="W312" s="30">
        <v>20</v>
      </c>
      <c r="X312" s="30">
        <v>38</v>
      </c>
      <c r="Y312" s="30">
        <v>27</v>
      </c>
      <c r="Z312" s="30">
        <v>21</v>
      </c>
      <c r="AA312" s="30"/>
      <c r="AB312" s="30"/>
      <c r="AC312" s="2" t="s">
        <v>178</v>
      </c>
      <c r="AD312" s="30" t="s">
        <v>173</v>
      </c>
      <c r="AE312" s="30" t="s">
        <v>37</v>
      </c>
      <c r="AF312" s="30" t="s">
        <v>37</v>
      </c>
      <c r="AG312" s="30" t="s">
        <v>37</v>
      </c>
      <c r="AH312" s="30">
        <v>1</v>
      </c>
      <c r="AI312" s="30">
        <v>2</v>
      </c>
      <c r="AJ312" s="30">
        <v>0</v>
      </c>
      <c r="AK312" s="32">
        <v>44379</v>
      </c>
      <c r="AL312" s="30"/>
    </row>
    <row r="313" spans="1:38" hidden="1" x14ac:dyDescent="0.25">
      <c r="A313" s="40" t="s">
        <v>26</v>
      </c>
      <c r="B313" s="40" t="s">
        <v>174</v>
      </c>
      <c r="C313" s="34">
        <v>2022</v>
      </c>
      <c r="D313" s="34">
        <v>1</v>
      </c>
      <c r="E313" s="30" t="s">
        <v>37</v>
      </c>
      <c r="F313" s="30" t="s">
        <v>37</v>
      </c>
      <c r="G313" s="30">
        <f t="shared" si="47"/>
        <v>14</v>
      </c>
      <c r="H313" s="27">
        <v>3</v>
      </c>
      <c r="I313" s="27">
        <v>11</v>
      </c>
      <c r="J313" s="24">
        <f t="shared" si="48"/>
        <v>0.21428571428571427</v>
      </c>
      <c r="K313" s="30">
        <v>0.25</v>
      </c>
      <c r="L313" s="27">
        <f t="shared" si="49"/>
        <v>14</v>
      </c>
      <c r="M313" s="27">
        <f>AVERAGE(W313:Z313)</f>
        <v>18</v>
      </c>
      <c r="N313" s="27"/>
      <c r="O313" s="27">
        <v>95</v>
      </c>
      <c r="P313" s="27">
        <v>25</v>
      </c>
      <c r="Q313" s="27">
        <v>8</v>
      </c>
      <c r="R313" s="27">
        <v>0</v>
      </c>
      <c r="S313" s="47" t="s">
        <v>37</v>
      </c>
      <c r="T313" s="41" t="s">
        <v>37</v>
      </c>
      <c r="U313" s="30">
        <v>0</v>
      </c>
      <c r="V313" s="30"/>
      <c r="W313" s="30">
        <v>23</v>
      </c>
      <c r="X313" s="30">
        <v>17</v>
      </c>
      <c r="Y313" s="30">
        <v>19</v>
      </c>
      <c r="Z313" s="30">
        <v>13</v>
      </c>
      <c r="AA313" s="30"/>
      <c r="AB313" s="30"/>
      <c r="AD313" s="30"/>
      <c r="AE313" s="30"/>
      <c r="AF313" s="41" t="s">
        <v>37</v>
      </c>
      <c r="AG313" s="30"/>
      <c r="AH313" s="30"/>
      <c r="AI313" s="30"/>
      <c r="AJ313" s="30"/>
      <c r="AK313" s="32">
        <v>44747</v>
      </c>
      <c r="AL313" s="30"/>
    </row>
    <row r="314" spans="1:38" hidden="1" x14ac:dyDescent="0.25">
      <c r="A314" s="40" t="s">
        <v>26</v>
      </c>
      <c r="B314" s="40" t="s">
        <v>174</v>
      </c>
      <c r="C314" s="34">
        <v>2023</v>
      </c>
      <c r="D314" s="34">
        <v>1</v>
      </c>
      <c r="E314" s="30" t="s">
        <v>37</v>
      </c>
      <c r="F314" s="30" t="s">
        <v>37</v>
      </c>
      <c r="G314" s="30">
        <f t="shared" si="47"/>
        <v>67</v>
      </c>
      <c r="H314" s="27">
        <v>25</v>
      </c>
      <c r="I314" s="27">
        <v>42</v>
      </c>
      <c r="J314" s="24">
        <f t="shared" si="48"/>
        <v>0.37313432835820898</v>
      </c>
      <c r="K314" s="30">
        <v>0.25</v>
      </c>
      <c r="L314" s="27">
        <f t="shared" si="49"/>
        <v>67</v>
      </c>
      <c r="M314" s="27">
        <f>AVERAGE(W314:Z314)</f>
        <v>17.75</v>
      </c>
      <c r="N314" s="19">
        <f>AVERAGE(AA314:AB314)</f>
        <v>38</v>
      </c>
      <c r="O314" s="27">
        <v>98</v>
      </c>
      <c r="P314" s="27">
        <v>10</v>
      </c>
      <c r="Q314" s="27">
        <v>2</v>
      </c>
      <c r="R314" s="27">
        <v>12</v>
      </c>
      <c r="S314" s="59" t="s">
        <v>541</v>
      </c>
      <c r="T314" s="57" t="s">
        <v>37</v>
      </c>
      <c r="U314" s="30">
        <v>0</v>
      </c>
      <c r="V314" s="57" t="s">
        <v>612</v>
      </c>
      <c r="W314" s="30">
        <v>13</v>
      </c>
      <c r="X314" s="30">
        <v>12</v>
      </c>
      <c r="Y314" s="30">
        <v>29</v>
      </c>
      <c r="Z314" s="30">
        <v>17</v>
      </c>
      <c r="AA314" s="30">
        <v>38</v>
      </c>
      <c r="AB314" s="30">
        <v>38</v>
      </c>
      <c r="AD314" s="30"/>
      <c r="AE314" s="30"/>
      <c r="AF314" s="41" t="s">
        <v>37</v>
      </c>
      <c r="AG314" s="30"/>
      <c r="AH314" s="57" t="s">
        <v>577</v>
      </c>
      <c r="AI314" s="30"/>
      <c r="AJ314" s="30"/>
      <c r="AK314" s="32">
        <v>44747</v>
      </c>
      <c r="AL314" s="30"/>
    </row>
    <row r="315" spans="1:38" hidden="1" x14ac:dyDescent="0.25">
      <c r="A315" s="40" t="s">
        <v>26</v>
      </c>
      <c r="B315" s="40" t="s">
        <v>174</v>
      </c>
      <c r="C315" s="34">
        <v>2024</v>
      </c>
      <c r="D315" s="34">
        <v>1</v>
      </c>
      <c r="E315" s="30" t="s">
        <v>37</v>
      </c>
      <c r="F315" s="30" t="s">
        <v>37</v>
      </c>
      <c r="G315" s="14">
        <f t="shared" si="47"/>
        <v>49</v>
      </c>
      <c r="H315" s="19">
        <v>16</v>
      </c>
      <c r="I315" s="19">
        <v>33</v>
      </c>
      <c r="J315" s="24">
        <f t="shared" si="48"/>
        <v>0.32653061224489793</v>
      </c>
      <c r="K315" s="14">
        <v>0.25</v>
      </c>
      <c r="L315" s="19">
        <f t="shared" si="49"/>
        <v>49</v>
      </c>
      <c r="M315" s="19">
        <f>AVERAGE(X315:Z315)</f>
        <v>28</v>
      </c>
      <c r="O315" s="19">
        <v>95</v>
      </c>
      <c r="P315" s="19">
        <v>40</v>
      </c>
      <c r="Q315" s="19">
        <v>3</v>
      </c>
      <c r="W315" s="14">
        <v>16</v>
      </c>
      <c r="X315" s="14">
        <v>18</v>
      </c>
      <c r="Y315" s="14">
        <v>27</v>
      </c>
      <c r="Z315" s="14">
        <v>39</v>
      </c>
    </row>
    <row r="316" spans="1:38" hidden="1" x14ac:dyDescent="0.25">
      <c r="A316" s="21" t="s">
        <v>26</v>
      </c>
      <c r="B316" s="27" t="s">
        <v>176</v>
      </c>
      <c r="C316" s="3">
        <v>2014</v>
      </c>
      <c r="D316" s="3">
        <v>1</v>
      </c>
      <c r="E316" s="3" t="s">
        <v>37</v>
      </c>
      <c r="F316" s="3" t="s">
        <v>37</v>
      </c>
      <c r="G316" s="2">
        <v>11</v>
      </c>
      <c r="H316" s="21">
        <v>5</v>
      </c>
      <c r="I316" s="21">
        <f>G316-H316</f>
        <v>6</v>
      </c>
      <c r="J316" s="24">
        <f t="shared" si="48"/>
        <v>0.45454545454545453</v>
      </c>
      <c r="K316" s="2">
        <v>0.25</v>
      </c>
      <c r="L316" s="27">
        <f t="shared" si="49"/>
        <v>11</v>
      </c>
      <c r="M316" s="27">
        <v>14</v>
      </c>
      <c r="N316" s="27"/>
      <c r="O316" s="27">
        <v>90</v>
      </c>
      <c r="P316" s="27"/>
      <c r="Q316" s="27"/>
      <c r="R316" s="27"/>
      <c r="S316" s="27"/>
      <c r="T316" s="30"/>
      <c r="U316" s="30"/>
      <c r="V316" s="30"/>
      <c r="W316" s="30"/>
      <c r="X316" s="30"/>
      <c r="Y316" s="30"/>
      <c r="Z316" s="30"/>
      <c r="AA316" s="30"/>
      <c r="AB316" s="30"/>
      <c r="AC316" s="2" t="s">
        <v>160</v>
      </c>
      <c r="AD316" s="3" t="s">
        <v>175</v>
      </c>
      <c r="AE316" s="3">
        <v>2.2727272727272729</v>
      </c>
      <c r="AF316" s="2">
        <v>2015</v>
      </c>
      <c r="AG316" s="30">
        <v>48.5</v>
      </c>
      <c r="AH316" s="30">
        <v>1</v>
      </c>
      <c r="AI316" s="30">
        <v>1</v>
      </c>
      <c r="AJ316" s="30">
        <v>1</v>
      </c>
      <c r="AK316" s="30"/>
      <c r="AL316" s="30"/>
    </row>
    <row r="317" spans="1:38" hidden="1" x14ac:dyDescent="0.25">
      <c r="A317" s="21" t="s">
        <v>26</v>
      </c>
      <c r="B317" s="27" t="s">
        <v>176</v>
      </c>
      <c r="C317" s="3">
        <v>2015</v>
      </c>
      <c r="D317" s="3">
        <v>1</v>
      </c>
      <c r="E317" s="3" t="s">
        <v>37</v>
      </c>
      <c r="F317" s="3" t="s">
        <v>37</v>
      </c>
      <c r="G317" s="2">
        <v>25</v>
      </c>
      <c r="H317" s="21">
        <v>9</v>
      </c>
      <c r="I317" s="21">
        <f>G317-H317</f>
        <v>16</v>
      </c>
      <c r="J317" s="24">
        <f t="shared" si="48"/>
        <v>0.36</v>
      </c>
      <c r="K317" s="2">
        <v>0.25</v>
      </c>
      <c r="L317" s="27">
        <f t="shared" si="49"/>
        <v>25</v>
      </c>
      <c r="M317" s="27" t="s">
        <v>37</v>
      </c>
      <c r="N317" s="27"/>
      <c r="O317" s="27" t="s">
        <v>37</v>
      </c>
      <c r="P317" s="27"/>
      <c r="Q317" s="27"/>
      <c r="R317" s="27"/>
      <c r="S317" s="27"/>
      <c r="T317" s="30"/>
      <c r="U317" s="30"/>
      <c r="V317" s="30"/>
      <c r="W317" s="30"/>
      <c r="X317" s="30"/>
      <c r="Y317" s="30"/>
      <c r="Z317" s="30"/>
      <c r="AA317" s="30"/>
      <c r="AB317" s="30"/>
      <c r="AC317" s="2" t="s">
        <v>160</v>
      </c>
      <c r="AD317" s="3" t="s">
        <v>175</v>
      </c>
      <c r="AE317" s="3">
        <v>0.6</v>
      </c>
      <c r="AF317" s="2">
        <v>2021.28</v>
      </c>
      <c r="AG317" s="30" t="s">
        <v>37</v>
      </c>
      <c r="AH317" s="30">
        <v>1</v>
      </c>
      <c r="AI317" s="30">
        <v>2</v>
      </c>
      <c r="AJ317" s="30">
        <v>0</v>
      </c>
      <c r="AK317" s="30"/>
      <c r="AL317" s="30"/>
    </row>
    <row r="318" spans="1:38" hidden="1" x14ac:dyDescent="0.25">
      <c r="A318" s="21" t="s">
        <v>26</v>
      </c>
      <c r="B318" s="27" t="s">
        <v>176</v>
      </c>
      <c r="C318" s="3">
        <v>2016</v>
      </c>
      <c r="D318" s="3">
        <v>1</v>
      </c>
      <c r="E318" s="3" t="s">
        <v>37</v>
      </c>
      <c r="F318" s="3" t="s">
        <v>37</v>
      </c>
      <c r="G318" s="25">
        <v>15</v>
      </c>
      <c r="H318" s="23">
        <v>7</v>
      </c>
      <c r="I318" s="21">
        <f>G318-H318</f>
        <v>8</v>
      </c>
      <c r="J318" s="24">
        <f t="shared" si="48"/>
        <v>0.46666666666666667</v>
      </c>
      <c r="K318" s="2">
        <v>0.25</v>
      </c>
      <c r="L318" s="27">
        <f t="shared" si="49"/>
        <v>15</v>
      </c>
      <c r="M318" s="27">
        <v>14</v>
      </c>
      <c r="N318" s="27"/>
      <c r="O318" s="27">
        <v>100</v>
      </c>
      <c r="P318" s="27"/>
      <c r="Q318" s="27"/>
      <c r="R318" s="27"/>
      <c r="S318" s="27"/>
      <c r="T318" s="30"/>
      <c r="U318" s="30"/>
      <c r="V318" s="30"/>
      <c r="W318" s="30"/>
      <c r="X318" s="30"/>
      <c r="Y318" s="30"/>
      <c r="Z318" s="30"/>
      <c r="AA318" s="30"/>
      <c r="AB318" s="30"/>
      <c r="AC318" s="2" t="s">
        <v>160</v>
      </c>
      <c r="AD318" s="3" t="s">
        <v>175</v>
      </c>
      <c r="AE318" s="3">
        <v>1.8666666666666667</v>
      </c>
      <c r="AF318" s="2">
        <v>1472.5329999999999</v>
      </c>
      <c r="AG318" s="30">
        <v>62.975000000000001</v>
      </c>
      <c r="AH318" s="30">
        <v>1</v>
      </c>
      <c r="AI318" s="30">
        <v>2</v>
      </c>
      <c r="AJ318" s="30">
        <v>0</v>
      </c>
      <c r="AK318" s="30"/>
      <c r="AL318" s="30"/>
    </row>
    <row r="319" spans="1:38" hidden="1" x14ac:dyDescent="0.25">
      <c r="A319" s="21" t="s">
        <v>26</v>
      </c>
      <c r="B319" s="27" t="s">
        <v>176</v>
      </c>
      <c r="C319" s="3">
        <v>2017</v>
      </c>
      <c r="D319" s="3">
        <v>1</v>
      </c>
      <c r="E319" s="3" t="s">
        <v>37</v>
      </c>
      <c r="F319" s="3" t="s">
        <v>37</v>
      </c>
      <c r="G319" s="25">
        <v>28</v>
      </c>
      <c r="H319" s="23">
        <v>8</v>
      </c>
      <c r="I319" s="21">
        <f>G319-H319</f>
        <v>20</v>
      </c>
      <c r="J319" s="24">
        <f t="shared" si="48"/>
        <v>0.2857142857142857</v>
      </c>
      <c r="K319" s="2">
        <v>0.25</v>
      </c>
      <c r="L319" s="27">
        <f t="shared" si="49"/>
        <v>28</v>
      </c>
      <c r="M319" s="27">
        <v>11.75</v>
      </c>
      <c r="N319" s="27"/>
      <c r="O319" s="27">
        <v>90</v>
      </c>
      <c r="P319" s="27"/>
      <c r="Q319" s="27"/>
      <c r="R319" s="27"/>
      <c r="S319" s="27"/>
      <c r="T319" s="30"/>
      <c r="U319" s="30"/>
      <c r="V319" s="30"/>
      <c r="W319" s="30"/>
      <c r="X319" s="30"/>
      <c r="Y319" s="30"/>
      <c r="Z319" s="30"/>
      <c r="AA319" s="30"/>
      <c r="AB319" s="30"/>
      <c r="AC319" s="2" t="s">
        <v>160</v>
      </c>
      <c r="AD319" s="3" t="s">
        <v>175</v>
      </c>
      <c r="AE319" s="3">
        <v>0.8928571428571429</v>
      </c>
      <c r="AF319" s="2">
        <v>1098.6785714285713</v>
      </c>
      <c r="AG319" s="30">
        <v>60.9</v>
      </c>
      <c r="AH319" s="30">
        <v>1</v>
      </c>
      <c r="AI319" s="30">
        <v>2</v>
      </c>
      <c r="AJ319" s="30">
        <v>0</v>
      </c>
      <c r="AK319" s="30"/>
      <c r="AL319" s="30"/>
    </row>
    <row r="320" spans="1:38" hidden="1" x14ac:dyDescent="0.25">
      <c r="A320" s="21" t="s">
        <v>26</v>
      </c>
      <c r="B320" s="27" t="s">
        <v>176</v>
      </c>
      <c r="C320" s="3">
        <v>2018</v>
      </c>
      <c r="D320" s="3">
        <v>1</v>
      </c>
      <c r="E320" s="3" t="s">
        <v>37</v>
      </c>
      <c r="F320" s="3" t="s">
        <v>37</v>
      </c>
      <c r="G320" s="30" t="s">
        <v>37</v>
      </c>
      <c r="H320" s="27" t="s">
        <v>37</v>
      </c>
      <c r="I320" s="27" t="s">
        <v>37</v>
      </c>
      <c r="J320" s="27" t="s">
        <v>37</v>
      </c>
      <c r="K320" s="2" t="s">
        <v>37</v>
      </c>
      <c r="L320" s="24" t="s">
        <v>37</v>
      </c>
      <c r="M320" s="27" t="s">
        <v>37</v>
      </c>
      <c r="N320" s="27"/>
      <c r="O320" s="27" t="s">
        <v>37</v>
      </c>
      <c r="P320" s="27"/>
      <c r="Q320" s="27"/>
      <c r="R320" s="27"/>
      <c r="S320" s="27"/>
      <c r="T320" s="30"/>
      <c r="U320" s="30"/>
      <c r="V320" s="30"/>
      <c r="W320" s="30"/>
      <c r="X320" s="30"/>
      <c r="Y320" s="30"/>
      <c r="Z320" s="30"/>
      <c r="AA320" s="30"/>
      <c r="AB320" s="30"/>
      <c r="AC320" s="2" t="s">
        <v>178</v>
      </c>
      <c r="AD320" s="3" t="s">
        <v>175</v>
      </c>
      <c r="AE320" s="3" t="s">
        <v>37</v>
      </c>
      <c r="AF320" s="30" t="s">
        <v>37</v>
      </c>
      <c r="AG320" s="30" t="s">
        <v>37</v>
      </c>
      <c r="AH320" s="30">
        <v>1</v>
      </c>
      <c r="AI320" s="30">
        <v>2</v>
      </c>
      <c r="AJ320" s="30">
        <v>0</v>
      </c>
      <c r="AK320" s="30"/>
      <c r="AL320" s="30"/>
    </row>
    <row r="321" spans="1:38" hidden="1" x14ac:dyDescent="0.25">
      <c r="A321" s="21" t="s">
        <v>26</v>
      </c>
      <c r="B321" s="27" t="s">
        <v>176</v>
      </c>
      <c r="C321" s="3">
        <v>2019</v>
      </c>
      <c r="D321" s="3">
        <v>1</v>
      </c>
      <c r="E321" s="3" t="s">
        <v>37</v>
      </c>
      <c r="F321" s="3" t="s">
        <v>37</v>
      </c>
      <c r="G321" s="30">
        <f t="shared" ref="G321:G326" si="50">SUM(H321:I321)</f>
        <v>25</v>
      </c>
      <c r="H321" s="27">
        <v>11</v>
      </c>
      <c r="I321" s="21">
        <v>14</v>
      </c>
      <c r="J321" s="24">
        <f t="shared" ref="J321:J327" si="51">H321/G321</f>
        <v>0.44</v>
      </c>
      <c r="K321" s="30">
        <v>0.25</v>
      </c>
      <c r="L321" s="27">
        <f t="shared" ref="L321:L327" si="52">G321/(K321/0.25)</f>
        <v>25</v>
      </c>
      <c r="M321" s="27">
        <f>(12+13+16+15)/4</f>
        <v>14</v>
      </c>
      <c r="N321" s="27"/>
      <c r="O321" s="27">
        <v>90</v>
      </c>
      <c r="P321" s="27">
        <v>30</v>
      </c>
      <c r="Q321" s="27"/>
      <c r="R321" s="27"/>
      <c r="S321" s="27"/>
      <c r="T321" s="30"/>
      <c r="U321" s="30"/>
      <c r="V321" s="30"/>
      <c r="W321" s="30"/>
      <c r="X321" s="30"/>
      <c r="Y321" s="30"/>
      <c r="Z321" s="30"/>
      <c r="AA321" s="30"/>
      <c r="AB321" s="30"/>
      <c r="AC321" s="2" t="s">
        <v>178</v>
      </c>
      <c r="AD321" s="3" t="s">
        <v>175</v>
      </c>
      <c r="AE321" s="3">
        <v>1.44</v>
      </c>
      <c r="AF321" s="30" t="s">
        <v>37</v>
      </c>
      <c r="AG321" s="30" t="s">
        <v>37</v>
      </c>
      <c r="AH321" s="30">
        <v>1</v>
      </c>
      <c r="AI321" s="30">
        <v>2</v>
      </c>
      <c r="AJ321" s="30">
        <v>0</v>
      </c>
      <c r="AK321" s="32">
        <v>43623</v>
      </c>
      <c r="AL321" s="30">
        <v>11</v>
      </c>
    </row>
    <row r="322" spans="1:38" hidden="1" x14ac:dyDescent="0.25">
      <c r="A322" s="21" t="s">
        <v>26</v>
      </c>
      <c r="B322" s="27" t="s">
        <v>176</v>
      </c>
      <c r="C322" s="3">
        <v>2020</v>
      </c>
      <c r="D322" s="3">
        <v>1</v>
      </c>
      <c r="E322" s="3" t="s">
        <v>37</v>
      </c>
      <c r="F322" s="3" t="s">
        <v>37</v>
      </c>
      <c r="G322" s="30">
        <f t="shared" si="50"/>
        <v>36</v>
      </c>
      <c r="H322" s="27">
        <v>18</v>
      </c>
      <c r="I322" s="21">
        <v>18</v>
      </c>
      <c r="J322" s="24">
        <f t="shared" si="51"/>
        <v>0.5</v>
      </c>
      <c r="K322" s="30">
        <v>0.25</v>
      </c>
      <c r="L322" s="27">
        <f t="shared" si="52"/>
        <v>36</v>
      </c>
      <c r="M322" s="27">
        <v>21.75</v>
      </c>
      <c r="N322" s="27"/>
      <c r="O322" s="27">
        <v>95</v>
      </c>
      <c r="P322" s="27">
        <v>0</v>
      </c>
      <c r="Q322" s="27"/>
      <c r="R322" s="27"/>
      <c r="S322" s="27"/>
      <c r="T322" s="30"/>
      <c r="U322" s="30"/>
      <c r="V322" s="30"/>
      <c r="W322" s="30"/>
      <c r="X322" s="30"/>
      <c r="Y322" s="30"/>
      <c r="Z322" s="30"/>
      <c r="AA322" s="30"/>
      <c r="AB322" s="30"/>
      <c r="AC322" s="2" t="s">
        <v>178</v>
      </c>
      <c r="AD322" s="3" t="s">
        <v>175</v>
      </c>
      <c r="AE322" s="3" t="s">
        <v>37</v>
      </c>
      <c r="AF322" s="30" t="s">
        <v>37</v>
      </c>
      <c r="AG322" s="30"/>
      <c r="AH322" s="30">
        <v>1</v>
      </c>
      <c r="AI322" s="30">
        <v>2</v>
      </c>
      <c r="AJ322" s="30">
        <v>0</v>
      </c>
      <c r="AK322" s="32" t="s">
        <v>163</v>
      </c>
      <c r="AL322" s="30"/>
    </row>
    <row r="323" spans="1:38" hidden="1" x14ac:dyDescent="0.25">
      <c r="A323" s="27" t="s">
        <v>26</v>
      </c>
      <c r="B323" s="27" t="s">
        <v>176</v>
      </c>
      <c r="C323" s="34">
        <v>2021</v>
      </c>
      <c r="D323" s="34">
        <v>1</v>
      </c>
      <c r="E323" s="30" t="s">
        <v>37</v>
      </c>
      <c r="F323" s="30" t="s">
        <v>37</v>
      </c>
      <c r="G323" s="30">
        <f t="shared" si="50"/>
        <v>26</v>
      </c>
      <c r="H323" s="27">
        <v>10</v>
      </c>
      <c r="I323" s="27">
        <v>16</v>
      </c>
      <c r="J323" s="24">
        <f t="shared" si="51"/>
        <v>0.38461538461538464</v>
      </c>
      <c r="K323" s="30">
        <v>0.25</v>
      </c>
      <c r="L323" s="27">
        <f t="shared" si="52"/>
        <v>26</v>
      </c>
      <c r="M323" s="27">
        <f>AVERAGE(W323:Z323)</f>
        <v>21.5</v>
      </c>
      <c r="N323" s="27"/>
      <c r="O323" s="27">
        <v>100</v>
      </c>
      <c r="P323" s="27">
        <v>1</v>
      </c>
      <c r="Q323" s="27">
        <v>0</v>
      </c>
      <c r="R323" s="27">
        <v>3</v>
      </c>
      <c r="S323" s="27" t="s">
        <v>102</v>
      </c>
      <c r="T323" s="30"/>
      <c r="U323" s="30"/>
      <c r="V323" s="30"/>
      <c r="W323" s="30">
        <v>20</v>
      </c>
      <c r="X323" s="30">
        <v>15</v>
      </c>
      <c r="Y323" s="30">
        <v>25</v>
      </c>
      <c r="Z323" s="30">
        <v>26</v>
      </c>
      <c r="AA323" s="30"/>
      <c r="AB323" s="30"/>
      <c r="AC323" s="2" t="s">
        <v>178</v>
      </c>
      <c r="AD323" s="30" t="s">
        <v>175</v>
      </c>
      <c r="AE323" s="30" t="s">
        <v>37</v>
      </c>
      <c r="AF323" s="30" t="s">
        <v>37</v>
      </c>
      <c r="AG323" s="30" t="s">
        <v>37</v>
      </c>
      <c r="AH323" s="30">
        <v>1</v>
      </c>
      <c r="AI323" s="30">
        <v>2</v>
      </c>
      <c r="AJ323" s="30">
        <v>0</v>
      </c>
      <c r="AK323" s="32">
        <v>44379</v>
      </c>
      <c r="AL323" s="30"/>
    </row>
    <row r="324" spans="1:38" hidden="1" x14ac:dyDescent="0.25">
      <c r="A324" s="40" t="s">
        <v>26</v>
      </c>
      <c r="B324" s="40" t="s">
        <v>176</v>
      </c>
      <c r="C324" s="34">
        <v>2022</v>
      </c>
      <c r="D324" s="34">
        <v>1</v>
      </c>
      <c r="E324" s="30" t="s">
        <v>37</v>
      </c>
      <c r="F324" s="30" t="s">
        <v>37</v>
      </c>
      <c r="G324" s="30">
        <f t="shared" si="50"/>
        <v>42</v>
      </c>
      <c r="H324" s="27">
        <v>5</v>
      </c>
      <c r="I324" s="27">
        <v>37</v>
      </c>
      <c r="J324" s="24">
        <f t="shared" si="51"/>
        <v>0.11904761904761904</v>
      </c>
      <c r="K324" s="30">
        <v>0.25</v>
      </c>
      <c r="L324" s="27">
        <f t="shared" si="52"/>
        <v>42</v>
      </c>
      <c r="M324" s="27">
        <f>AVERAGE(W324:Z324)</f>
        <v>21.5</v>
      </c>
      <c r="N324" s="27"/>
      <c r="O324" s="27">
        <v>99</v>
      </c>
      <c r="P324" s="27">
        <v>30</v>
      </c>
      <c r="Q324" s="40">
        <v>2</v>
      </c>
      <c r="R324" s="27">
        <v>6</v>
      </c>
      <c r="S324" s="40" t="s">
        <v>102</v>
      </c>
      <c r="T324" s="41" t="s">
        <v>502</v>
      </c>
      <c r="U324" s="30">
        <v>10</v>
      </c>
      <c r="V324" s="30"/>
      <c r="W324" s="30">
        <v>24</v>
      </c>
      <c r="X324" s="30">
        <v>15</v>
      </c>
      <c r="Y324" s="30">
        <v>18</v>
      </c>
      <c r="Z324" s="30">
        <v>29</v>
      </c>
      <c r="AA324" s="30"/>
      <c r="AB324" s="30"/>
      <c r="AD324" s="30"/>
      <c r="AE324" s="30"/>
      <c r="AF324" s="41" t="s">
        <v>37</v>
      </c>
      <c r="AG324" s="30"/>
      <c r="AH324" s="30"/>
      <c r="AI324" s="30"/>
      <c r="AJ324" s="30"/>
      <c r="AK324" s="32">
        <v>44747</v>
      </c>
      <c r="AL324" s="30"/>
    </row>
    <row r="325" spans="1:38" hidden="1" x14ac:dyDescent="0.25">
      <c r="A325" s="40" t="s">
        <v>26</v>
      </c>
      <c r="B325" s="40" t="s">
        <v>176</v>
      </c>
      <c r="C325" s="34">
        <v>2023</v>
      </c>
      <c r="D325" s="34">
        <v>1</v>
      </c>
      <c r="E325" s="30" t="s">
        <v>37</v>
      </c>
      <c r="F325" s="30" t="s">
        <v>37</v>
      </c>
      <c r="G325" s="30">
        <f t="shared" si="50"/>
        <v>87</v>
      </c>
      <c r="H325" s="27">
        <v>25</v>
      </c>
      <c r="I325" s="27">
        <v>62</v>
      </c>
      <c r="J325" s="24">
        <f t="shared" si="51"/>
        <v>0.28735632183908044</v>
      </c>
      <c r="K325" s="30">
        <v>0.25</v>
      </c>
      <c r="L325" s="27">
        <f t="shared" si="52"/>
        <v>87</v>
      </c>
      <c r="M325" s="27">
        <f>AVERAGE(W325:Z325)</f>
        <v>22.5</v>
      </c>
      <c r="N325" s="19">
        <f>AVERAGE(AA325:AB325)</f>
        <v>38</v>
      </c>
      <c r="O325" s="27">
        <v>98</v>
      </c>
      <c r="P325" s="27">
        <v>25</v>
      </c>
      <c r="Q325" s="40">
        <v>5</v>
      </c>
      <c r="R325" s="27">
        <v>15</v>
      </c>
      <c r="S325" s="59" t="s">
        <v>541</v>
      </c>
      <c r="T325" s="57" t="s">
        <v>502</v>
      </c>
      <c r="U325" s="30">
        <v>10</v>
      </c>
      <c r="V325" s="30"/>
      <c r="W325" s="30">
        <v>28</v>
      </c>
      <c r="X325" s="30">
        <v>19</v>
      </c>
      <c r="Y325" s="30">
        <v>21</v>
      </c>
      <c r="Z325" s="30">
        <v>22</v>
      </c>
      <c r="AA325" s="30">
        <v>38</v>
      </c>
      <c r="AB325" s="30">
        <v>38</v>
      </c>
      <c r="AD325" s="30"/>
      <c r="AE325" s="30"/>
      <c r="AF325" s="41" t="s">
        <v>37</v>
      </c>
      <c r="AG325" s="30"/>
      <c r="AH325" s="57" t="s">
        <v>577</v>
      </c>
      <c r="AI325" s="30"/>
      <c r="AJ325" s="30"/>
      <c r="AK325" s="32">
        <v>44747</v>
      </c>
      <c r="AL325" s="30"/>
    </row>
    <row r="326" spans="1:38" hidden="1" x14ac:dyDescent="0.25">
      <c r="A326" s="40" t="s">
        <v>26</v>
      </c>
      <c r="B326" s="40" t="s">
        <v>176</v>
      </c>
      <c r="C326" s="34">
        <v>2024</v>
      </c>
      <c r="D326" s="34">
        <v>1</v>
      </c>
      <c r="E326" s="30" t="s">
        <v>37</v>
      </c>
      <c r="F326" s="30" t="s">
        <v>37</v>
      </c>
      <c r="G326" s="14">
        <f t="shared" si="50"/>
        <v>67</v>
      </c>
      <c r="H326" s="19">
        <v>19</v>
      </c>
      <c r="I326" s="19">
        <v>48</v>
      </c>
      <c r="J326" s="24">
        <f t="shared" si="51"/>
        <v>0.28358208955223879</v>
      </c>
      <c r="K326" s="14">
        <v>0.25</v>
      </c>
      <c r="L326" s="19">
        <f t="shared" si="52"/>
        <v>67</v>
      </c>
      <c r="M326" s="19">
        <f>AVERAGE(X326:Z326)</f>
        <v>19.666666666666668</v>
      </c>
      <c r="O326" s="19">
        <v>95</v>
      </c>
      <c r="P326" s="19">
        <v>25</v>
      </c>
      <c r="Q326" s="19">
        <v>1</v>
      </c>
      <c r="W326" s="14">
        <v>8</v>
      </c>
      <c r="X326" s="14">
        <v>21</v>
      </c>
      <c r="Y326" s="14">
        <v>21</v>
      </c>
      <c r="Z326" s="14">
        <v>17</v>
      </c>
    </row>
    <row r="327" spans="1:38" hidden="1" x14ac:dyDescent="0.25">
      <c r="A327" s="21" t="s">
        <v>26</v>
      </c>
      <c r="B327" s="22" t="s">
        <v>206</v>
      </c>
      <c r="C327" s="3">
        <v>2014</v>
      </c>
      <c r="D327" s="3">
        <v>1</v>
      </c>
      <c r="E327" s="3" t="s">
        <v>37</v>
      </c>
      <c r="F327" s="3" t="s">
        <v>37</v>
      </c>
      <c r="G327" s="2">
        <v>8</v>
      </c>
      <c r="H327" s="21">
        <v>3</v>
      </c>
      <c r="I327" s="21">
        <f>G327-H327</f>
        <v>5</v>
      </c>
      <c r="J327" s="24">
        <f t="shared" si="51"/>
        <v>0.375</v>
      </c>
      <c r="K327" s="2">
        <v>0.25</v>
      </c>
      <c r="L327" s="27">
        <f t="shared" si="52"/>
        <v>8</v>
      </c>
      <c r="M327" s="27">
        <v>7</v>
      </c>
      <c r="N327" s="27"/>
      <c r="O327" s="27">
        <v>85</v>
      </c>
      <c r="P327" s="27"/>
      <c r="Q327" s="27"/>
      <c r="R327" s="27"/>
      <c r="S327" s="27"/>
      <c r="T327" s="30"/>
      <c r="U327" s="30"/>
      <c r="V327" s="30"/>
      <c r="W327" s="30"/>
      <c r="X327" s="30"/>
      <c r="Y327" s="30"/>
      <c r="Z327" s="30"/>
      <c r="AA327" s="30"/>
      <c r="AB327" s="30"/>
      <c r="AC327" s="2" t="s">
        <v>160</v>
      </c>
      <c r="AD327" s="3" t="s">
        <v>205</v>
      </c>
      <c r="AE327" s="3" t="s">
        <v>37</v>
      </c>
      <c r="AF327" s="2">
        <v>1085.125</v>
      </c>
      <c r="AG327" s="30">
        <v>63.1</v>
      </c>
      <c r="AH327" s="30">
        <v>1</v>
      </c>
      <c r="AI327" s="30">
        <v>1</v>
      </c>
      <c r="AJ327" s="30">
        <v>0</v>
      </c>
      <c r="AK327" s="30"/>
      <c r="AL327" s="30"/>
    </row>
    <row r="328" spans="1:38" hidden="1" x14ac:dyDescent="0.25">
      <c r="A328" s="21" t="s">
        <v>26</v>
      </c>
      <c r="B328" s="22" t="s">
        <v>206</v>
      </c>
      <c r="C328" s="3">
        <v>2015</v>
      </c>
      <c r="D328" s="3">
        <v>1</v>
      </c>
      <c r="E328" s="3" t="s">
        <v>37</v>
      </c>
      <c r="F328" s="3" t="s">
        <v>37</v>
      </c>
      <c r="G328" s="2" t="s">
        <v>37</v>
      </c>
      <c r="H328" s="21" t="s">
        <v>37</v>
      </c>
      <c r="I328" s="21" t="s">
        <v>37</v>
      </c>
      <c r="J328" s="24" t="s">
        <v>37</v>
      </c>
      <c r="K328" s="2">
        <v>0.25</v>
      </c>
      <c r="L328" s="24" t="s">
        <v>37</v>
      </c>
      <c r="M328" s="27" t="s">
        <v>37</v>
      </c>
      <c r="N328" s="27"/>
      <c r="O328" s="27" t="s">
        <v>37</v>
      </c>
      <c r="P328" s="27"/>
      <c r="Q328" s="27"/>
      <c r="R328" s="27"/>
      <c r="S328" s="27"/>
      <c r="T328" s="30"/>
      <c r="U328" s="30"/>
      <c r="V328" s="30"/>
      <c r="W328" s="30"/>
      <c r="X328" s="30"/>
      <c r="Y328" s="30"/>
      <c r="Z328" s="30"/>
      <c r="AA328" s="30"/>
      <c r="AB328" s="30"/>
      <c r="AC328" s="2" t="s">
        <v>160</v>
      </c>
      <c r="AD328" s="3" t="s">
        <v>205</v>
      </c>
      <c r="AE328" s="3" t="s">
        <v>37</v>
      </c>
      <c r="AF328" s="2" t="s">
        <v>37</v>
      </c>
      <c r="AG328" s="30" t="s">
        <v>37</v>
      </c>
      <c r="AH328" s="30">
        <v>1</v>
      </c>
      <c r="AI328" s="30">
        <v>2</v>
      </c>
      <c r="AJ328" s="30">
        <v>0</v>
      </c>
      <c r="AK328" s="30"/>
      <c r="AL328" s="30"/>
    </row>
    <row r="329" spans="1:38" hidden="1" x14ac:dyDescent="0.25">
      <c r="A329" s="21" t="s">
        <v>26</v>
      </c>
      <c r="B329" s="22" t="s">
        <v>206</v>
      </c>
      <c r="C329" s="3">
        <v>2016</v>
      </c>
      <c r="D329" s="3">
        <v>1</v>
      </c>
      <c r="E329" s="3" t="s">
        <v>37</v>
      </c>
      <c r="F329" s="3" t="s">
        <v>37</v>
      </c>
      <c r="G329" s="25">
        <v>8</v>
      </c>
      <c r="H329" s="23">
        <v>0</v>
      </c>
      <c r="I329" s="21">
        <f>G329-H329</f>
        <v>8</v>
      </c>
      <c r="J329" s="24">
        <f>H329/G329</f>
        <v>0</v>
      </c>
      <c r="K329" s="2">
        <v>0.25</v>
      </c>
      <c r="L329" s="27">
        <f>G329/(K329/0.25)</f>
        <v>8</v>
      </c>
      <c r="M329" s="27">
        <v>4</v>
      </c>
      <c r="N329" s="27"/>
      <c r="O329" s="27">
        <v>60</v>
      </c>
      <c r="P329" s="27"/>
      <c r="Q329" s="27"/>
      <c r="R329" s="27"/>
      <c r="S329" s="27"/>
      <c r="T329" s="30"/>
      <c r="U329" s="30"/>
      <c r="V329" s="30"/>
      <c r="W329" s="30"/>
      <c r="X329" s="30"/>
      <c r="Y329" s="30"/>
      <c r="Z329" s="30"/>
      <c r="AA329" s="30"/>
      <c r="AB329" s="30"/>
      <c r="AC329" s="2" t="s">
        <v>160</v>
      </c>
      <c r="AD329" s="3" t="s">
        <v>205</v>
      </c>
      <c r="AE329" s="3">
        <v>1.875</v>
      </c>
      <c r="AF329" s="2">
        <v>986.25</v>
      </c>
      <c r="AG329" s="30">
        <v>76.674999999999997</v>
      </c>
      <c r="AH329" s="30">
        <v>1</v>
      </c>
      <c r="AI329" s="30">
        <v>2</v>
      </c>
      <c r="AJ329" s="30">
        <v>0</v>
      </c>
      <c r="AK329" s="30"/>
      <c r="AL329" s="30"/>
    </row>
    <row r="330" spans="1:38" hidden="1" x14ac:dyDescent="0.25">
      <c r="A330" s="21" t="s">
        <v>26</v>
      </c>
      <c r="B330" s="22" t="s">
        <v>206</v>
      </c>
      <c r="C330" s="3">
        <v>2017</v>
      </c>
      <c r="D330" s="3">
        <v>1</v>
      </c>
      <c r="E330" s="3" t="s">
        <v>37</v>
      </c>
      <c r="F330" s="3" t="s">
        <v>37</v>
      </c>
      <c r="G330" s="25">
        <v>15</v>
      </c>
      <c r="H330" s="23">
        <v>2</v>
      </c>
      <c r="I330" s="21">
        <f>G330-H330</f>
        <v>13</v>
      </c>
      <c r="J330" s="24">
        <f>H330/G330</f>
        <v>0.13333333333333333</v>
      </c>
      <c r="K330" s="2">
        <v>0.25</v>
      </c>
      <c r="L330" s="27">
        <f>G330/(K330/0.25)</f>
        <v>15</v>
      </c>
      <c r="M330" s="27">
        <v>5</v>
      </c>
      <c r="N330" s="27"/>
      <c r="O330" s="27">
        <v>70</v>
      </c>
      <c r="P330" s="27"/>
      <c r="Q330" s="27"/>
      <c r="R330" s="27"/>
      <c r="S330" s="27"/>
      <c r="T330" s="30"/>
      <c r="U330" s="30"/>
      <c r="V330" s="30"/>
      <c r="W330" s="30"/>
      <c r="X330" s="30"/>
      <c r="Y330" s="30"/>
      <c r="Z330" s="30"/>
      <c r="AA330" s="30"/>
      <c r="AB330" s="30"/>
      <c r="AC330" s="2" t="s">
        <v>160</v>
      </c>
      <c r="AD330" s="3" t="s">
        <v>205</v>
      </c>
      <c r="AE330" s="3">
        <v>0.13333333333333333</v>
      </c>
      <c r="AF330" s="2">
        <v>519.86666666666667</v>
      </c>
      <c r="AG330" s="30">
        <v>74.174999999999997</v>
      </c>
      <c r="AH330" s="30">
        <v>1</v>
      </c>
      <c r="AI330" s="30">
        <v>2</v>
      </c>
      <c r="AJ330" s="30">
        <v>0</v>
      </c>
      <c r="AK330" s="30"/>
      <c r="AL330" s="30"/>
    </row>
    <row r="331" spans="1:38" hidden="1" x14ac:dyDescent="0.25">
      <c r="A331" s="21" t="s">
        <v>26</v>
      </c>
      <c r="B331" s="22" t="s">
        <v>206</v>
      </c>
      <c r="C331" s="3">
        <v>2018</v>
      </c>
      <c r="D331" s="3">
        <v>1</v>
      </c>
      <c r="E331" s="3" t="s">
        <v>37</v>
      </c>
      <c r="F331" s="3" t="s">
        <v>37</v>
      </c>
      <c r="G331" s="30" t="s">
        <v>37</v>
      </c>
      <c r="H331" s="27" t="s">
        <v>37</v>
      </c>
      <c r="I331" s="27" t="s">
        <v>37</v>
      </c>
      <c r="J331" s="27" t="s">
        <v>37</v>
      </c>
      <c r="K331" s="2" t="s">
        <v>37</v>
      </c>
      <c r="L331" s="24" t="s">
        <v>37</v>
      </c>
      <c r="M331" s="27" t="s">
        <v>37</v>
      </c>
      <c r="N331" s="27"/>
      <c r="O331" s="27" t="s">
        <v>37</v>
      </c>
      <c r="P331" s="27"/>
      <c r="Q331" s="27"/>
      <c r="R331" s="27"/>
      <c r="S331" s="27"/>
      <c r="T331" s="30"/>
      <c r="U331" s="30"/>
      <c r="V331" s="30"/>
      <c r="W331" s="30"/>
      <c r="X331" s="30"/>
      <c r="Y331" s="30"/>
      <c r="Z331" s="30"/>
      <c r="AA331" s="30"/>
      <c r="AB331" s="30"/>
      <c r="AC331" s="2" t="s">
        <v>178</v>
      </c>
      <c r="AD331" s="3" t="s">
        <v>205</v>
      </c>
      <c r="AE331" s="3" t="s">
        <v>37</v>
      </c>
      <c r="AF331" s="30" t="s">
        <v>37</v>
      </c>
      <c r="AG331" s="30" t="s">
        <v>37</v>
      </c>
      <c r="AH331" s="30">
        <v>1</v>
      </c>
      <c r="AI331" s="30">
        <v>2</v>
      </c>
      <c r="AJ331" s="30">
        <v>0</v>
      </c>
      <c r="AK331" s="30"/>
      <c r="AL331" s="30"/>
    </row>
    <row r="332" spans="1:38" hidden="1" x14ac:dyDescent="0.25">
      <c r="A332" s="21" t="s">
        <v>26</v>
      </c>
      <c r="B332" s="22" t="s">
        <v>206</v>
      </c>
      <c r="C332" s="3">
        <v>2019</v>
      </c>
      <c r="D332" s="3">
        <v>1</v>
      </c>
      <c r="E332" s="3" t="s">
        <v>37</v>
      </c>
      <c r="F332" s="3" t="s">
        <v>37</v>
      </c>
      <c r="G332" s="30">
        <f t="shared" ref="G332:G337" si="53">SUM(H332:I332)</f>
        <v>2</v>
      </c>
      <c r="H332" s="27">
        <v>0</v>
      </c>
      <c r="I332" s="21">
        <v>2</v>
      </c>
      <c r="J332" s="24">
        <f t="shared" ref="J332:J338" si="54">H332/G332</f>
        <v>0</v>
      </c>
      <c r="K332" s="30">
        <v>0.25</v>
      </c>
      <c r="L332" s="27">
        <f t="shared" ref="L332:L338" si="55">G332/(K332/0.25)</f>
        <v>2</v>
      </c>
      <c r="M332" s="27">
        <f>(12+10+15+3)/4</f>
        <v>10</v>
      </c>
      <c r="N332" s="27"/>
      <c r="O332" s="27">
        <v>60</v>
      </c>
      <c r="P332" s="27">
        <v>40</v>
      </c>
      <c r="Q332" s="27"/>
      <c r="R332" s="27"/>
      <c r="S332" s="27"/>
      <c r="T332" s="30"/>
      <c r="U332" s="30"/>
      <c r="V332" s="30"/>
      <c r="W332" s="30"/>
      <c r="X332" s="30"/>
      <c r="Y332" s="30"/>
      <c r="Z332" s="30"/>
      <c r="AA332" s="30"/>
      <c r="AB332" s="30"/>
      <c r="AC332" s="2" t="s">
        <v>178</v>
      </c>
      <c r="AD332" s="3" t="s">
        <v>205</v>
      </c>
      <c r="AE332" s="3">
        <v>2</v>
      </c>
      <c r="AF332" s="30" t="s">
        <v>37</v>
      </c>
      <c r="AG332" s="30" t="s">
        <v>37</v>
      </c>
      <c r="AH332" s="30">
        <v>1</v>
      </c>
      <c r="AI332" s="30">
        <v>2</v>
      </c>
      <c r="AJ332" s="30">
        <v>0</v>
      </c>
      <c r="AK332" s="32">
        <v>43623</v>
      </c>
      <c r="AL332" s="30">
        <v>3</v>
      </c>
    </row>
    <row r="333" spans="1:38" hidden="1" x14ac:dyDescent="0.25">
      <c r="A333" s="21" t="s">
        <v>26</v>
      </c>
      <c r="B333" s="22" t="s">
        <v>206</v>
      </c>
      <c r="C333" s="3">
        <v>2020</v>
      </c>
      <c r="D333" s="3">
        <v>1</v>
      </c>
      <c r="E333" s="3" t="s">
        <v>37</v>
      </c>
      <c r="F333" s="3" t="s">
        <v>37</v>
      </c>
      <c r="G333" s="30">
        <f t="shared" si="53"/>
        <v>4</v>
      </c>
      <c r="H333" s="27">
        <v>1</v>
      </c>
      <c r="I333" s="21">
        <v>3</v>
      </c>
      <c r="J333" s="24">
        <f t="shared" si="54"/>
        <v>0.25</v>
      </c>
      <c r="K333" s="30">
        <v>0.25</v>
      </c>
      <c r="L333" s="27">
        <f t="shared" si="55"/>
        <v>4</v>
      </c>
      <c r="M333" s="27">
        <v>13.75</v>
      </c>
      <c r="N333" s="27"/>
      <c r="O333" s="27">
        <v>90</v>
      </c>
      <c r="P333" s="27">
        <v>30</v>
      </c>
      <c r="Q333" s="27"/>
      <c r="R333" s="27"/>
      <c r="S333" s="27"/>
      <c r="T333" s="30"/>
      <c r="U333" s="30"/>
      <c r="V333" s="30"/>
      <c r="W333" s="30"/>
      <c r="X333" s="30"/>
      <c r="Y333" s="30"/>
      <c r="Z333" s="30"/>
      <c r="AA333" s="30"/>
      <c r="AB333" s="30"/>
      <c r="AC333" s="2" t="s">
        <v>178</v>
      </c>
      <c r="AD333" s="3" t="s">
        <v>205</v>
      </c>
      <c r="AE333" s="3" t="s">
        <v>37</v>
      </c>
      <c r="AF333" s="30" t="s">
        <v>37</v>
      </c>
      <c r="AG333" s="30"/>
      <c r="AH333" s="30">
        <v>1</v>
      </c>
      <c r="AI333" s="30">
        <v>2</v>
      </c>
      <c r="AJ333" s="30">
        <v>0</v>
      </c>
      <c r="AK333" s="32" t="s">
        <v>163</v>
      </c>
      <c r="AL333" s="30"/>
    </row>
    <row r="334" spans="1:38" hidden="1" x14ac:dyDescent="0.25">
      <c r="A334" s="21" t="s">
        <v>26</v>
      </c>
      <c r="B334" s="22" t="s">
        <v>206</v>
      </c>
      <c r="C334" s="3">
        <v>2021</v>
      </c>
      <c r="D334" s="3">
        <v>1</v>
      </c>
      <c r="E334" s="3" t="s">
        <v>37</v>
      </c>
      <c r="F334" s="3" t="s">
        <v>37</v>
      </c>
      <c r="G334" s="30">
        <f t="shared" si="53"/>
        <v>1</v>
      </c>
      <c r="H334" s="27">
        <v>1</v>
      </c>
      <c r="I334" s="21">
        <v>0</v>
      </c>
      <c r="J334" s="24">
        <f t="shared" si="54"/>
        <v>1</v>
      </c>
      <c r="K334" s="30">
        <v>0.25</v>
      </c>
      <c r="L334" s="27">
        <f t="shared" si="55"/>
        <v>1</v>
      </c>
      <c r="M334" s="27">
        <v>13.75</v>
      </c>
      <c r="N334" s="27"/>
      <c r="O334" s="27">
        <v>85</v>
      </c>
      <c r="P334" s="27">
        <v>10</v>
      </c>
      <c r="Q334" s="27">
        <v>5</v>
      </c>
      <c r="R334" s="27"/>
      <c r="S334" s="27"/>
      <c r="T334" s="30"/>
      <c r="U334" s="30"/>
      <c r="V334" s="30"/>
      <c r="W334" s="30">
        <v>16</v>
      </c>
      <c r="X334" s="30">
        <v>18</v>
      </c>
      <c r="Y334" s="30">
        <v>18</v>
      </c>
      <c r="Z334" s="30">
        <v>20</v>
      </c>
      <c r="AA334" s="30"/>
      <c r="AB334" s="30"/>
      <c r="AD334" s="3" t="s">
        <v>205</v>
      </c>
      <c r="AE334" s="3" t="s">
        <v>37</v>
      </c>
      <c r="AF334" s="30" t="s">
        <v>37</v>
      </c>
      <c r="AG334" s="30"/>
      <c r="AH334" s="30">
        <v>1</v>
      </c>
      <c r="AI334" s="30">
        <v>2</v>
      </c>
      <c r="AJ334" s="30">
        <v>0</v>
      </c>
      <c r="AK334" s="32">
        <v>44379</v>
      </c>
      <c r="AL334" s="30"/>
    </row>
    <row r="335" spans="1:38" hidden="1" x14ac:dyDescent="0.25">
      <c r="A335" s="38" t="s">
        <v>26</v>
      </c>
      <c r="B335" s="40" t="s">
        <v>206</v>
      </c>
      <c r="C335" s="34">
        <v>2022</v>
      </c>
      <c r="D335" s="34">
        <v>1</v>
      </c>
      <c r="E335" s="3" t="s">
        <v>37</v>
      </c>
      <c r="F335" s="3" t="s">
        <v>37</v>
      </c>
      <c r="G335" s="30">
        <f t="shared" si="53"/>
        <v>3</v>
      </c>
      <c r="H335" s="27">
        <v>1</v>
      </c>
      <c r="I335" s="27">
        <v>2</v>
      </c>
      <c r="J335" s="24">
        <f t="shared" si="54"/>
        <v>0.33333333333333331</v>
      </c>
      <c r="K335" s="30">
        <v>0.25</v>
      </c>
      <c r="L335" s="27">
        <f t="shared" si="55"/>
        <v>3</v>
      </c>
      <c r="M335" s="27">
        <f>AVERAGE(W335:Z335)</f>
        <v>17.25</v>
      </c>
      <c r="N335" s="27"/>
      <c r="O335" s="27">
        <v>88</v>
      </c>
      <c r="P335" s="27">
        <v>25</v>
      </c>
      <c r="Q335" s="27">
        <v>6</v>
      </c>
      <c r="R335" s="27">
        <v>1</v>
      </c>
      <c r="S335" s="40" t="s">
        <v>102</v>
      </c>
      <c r="T335" s="41" t="s">
        <v>502</v>
      </c>
      <c r="U335" s="30">
        <v>1</v>
      </c>
      <c r="V335" s="30"/>
      <c r="W335" s="30">
        <v>18</v>
      </c>
      <c r="X335" s="30">
        <v>17</v>
      </c>
      <c r="Y335" s="30">
        <v>14</v>
      </c>
      <c r="Z335" s="30">
        <v>20</v>
      </c>
      <c r="AA335" s="30"/>
      <c r="AB335" s="30"/>
      <c r="AD335" s="39"/>
      <c r="AE335" s="30"/>
      <c r="AF335" s="41" t="s">
        <v>37</v>
      </c>
      <c r="AG335" s="30"/>
      <c r="AH335" s="41"/>
      <c r="AI335" s="30"/>
      <c r="AJ335" s="30"/>
      <c r="AK335" s="32">
        <v>44747</v>
      </c>
      <c r="AL335" s="30"/>
    </row>
    <row r="336" spans="1:38" hidden="1" x14ac:dyDescent="0.25">
      <c r="A336" s="38" t="s">
        <v>26</v>
      </c>
      <c r="B336" s="40" t="s">
        <v>206</v>
      </c>
      <c r="C336" s="34">
        <v>2023</v>
      </c>
      <c r="D336" s="34">
        <v>1</v>
      </c>
      <c r="E336" s="3" t="s">
        <v>37</v>
      </c>
      <c r="F336" s="3" t="s">
        <v>37</v>
      </c>
      <c r="G336" s="30">
        <f t="shared" si="53"/>
        <v>6</v>
      </c>
      <c r="H336" s="27">
        <v>2</v>
      </c>
      <c r="I336" s="27">
        <v>4</v>
      </c>
      <c r="J336" s="24">
        <f t="shared" si="54"/>
        <v>0.33333333333333331</v>
      </c>
      <c r="K336" s="30">
        <v>0.25</v>
      </c>
      <c r="L336" s="27">
        <f t="shared" si="55"/>
        <v>6</v>
      </c>
      <c r="M336" s="27">
        <f>AVERAGE(W336:Z336)</f>
        <v>16.25</v>
      </c>
      <c r="N336" s="19">
        <f>AVERAGE(AA336:AB336)</f>
        <v>36.75</v>
      </c>
      <c r="O336" s="27">
        <v>95</v>
      </c>
      <c r="P336" s="27">
        <v>12</v>
      </c>
      <c r="Q336" s="27">
        <v>7</v>
      </c>
      <c r="R336" s="27">
        <v>2</v>
      </c>
      <c r="S336" s="59" t="s">
        <v>541</v>
      </c>
      <c r="T336" s="57" t="s">
        <v>502</v>
      </c>
      <c r="U336" s="30">
        <v>2</v>
      </c>
      <c r="V336" s="30"/>
      <c r="W336" s="30">
        <v>12</v>
      </c>
      <c r="X336" s="30">
        <v>17</v>
      </c>
      <c r="Y336" s="30">
        <v>17</v>
      </c>
      <c r="Z336" s="30">
        <v>19</v>
      </c>
      <c r="AA336" s="30">
        <v>38</v>
      </c>
      <c r="AB336" s="30">
        <v>35.5</v>
      </c>
      <c r="AD336" s="39"/>
      <c r="AE336" s="30"/>
      <c r="AF336" s="41" t="s">
        <v>37</v>
      </c>
      <c r="AG336" s="30"/>
      <c r="AH336" s="57" t="s">
        <v>577</v>
      </c>
      <c r="AI336" s="30"/>
      <c r="AJ336" s="30"/>
      <c r="AK336" s="32">
        <v>44747</v>
      </c>
      <c r="AL336" s="30"/>
    </row>
    <row r="337" spans="1:38" hidden="1" x14ac:dyDescent="0.25">
      <c r="A337" s="38" t="s">
        <v>26</v>
      </c>
      <c r="B337" s="40" t="s">
        <v>206</v>
      </c>
      <c r="C337" s="34">
        <v>2024</v>
      </c>
      <c r="D337" s="34">
        <v>1</v>
      </c>
      <c r="E337" s="3" t="s">
        <v>37</v>
      </c>
      <c r="F337" s="3" t="s">
        <v>37</v>
      </c>
      <c r="G337" s="14">
        <f t="shared" si="53"/>
        <v>7</v>
      </c>
      <c r="H337" s="19">
        <v>2</v>
      </c>
      <c r="I337" s="19">
        <v>5</v>
      </c>
      <c r="J337" s="24">
        <f t="shared" si="54"/>
        <v>0.2857142857142857</v>
      </c>
      <c r="K337" s="14">
        <v>0.25</v>
      </c>
      <c r="L337" s="19">
        <f t="shared" si="55"/>
        <v>7</v>
      </c>
      <c r="M337" s="19">
        <f>AVERAGE(X337:Z337)</f>
        <v>12.333333333333334</v>
      </c>
      <c r="O337" s="19">
        <v>90</v>
      </c>
      <c r="P337" s="19">
        <v>15</v>
      </c>
      <c r="Q337" s="19">
        <v>2</v>
      </c>
      <c r="W337" s="14">
        <v>11</v>
      </c>
      <c r="X337" s="14">
        <v>14</v>
      </c>
      <c r="Y337" s="14">
        <v>13</v>
      </c>
      <c r="Z337" s="14">
        <v>10</v>
      </c>
    </row>
    <row r="338" spans="1:38" hidden="1" x14ac:dyDescent="0.25">
      <c r="A338" s="21" t="s">
        <v>26</v>
      </c>
      <c r="B338" s="22" t="s">
        <v>232</v>
      </c>
      <c r="C338" s="3">
        <v>2014</v>
      </c>
      <c r="D338" s="3">
        <v>1</v>
      </c>
      <c r="E338" s="3" t="s">
        <v>37</v>
      </c>
      <c r="F338" s="3" t="s">
        <v>37</v>
      </c>
      <c r="G338" s="2">
        <v>1</v>
      </c>
      <c r="H338" s="21">
        <v>1</v>
      </c>
      <c r="I338" s="21">
        <f>G338-H338</f>
        <v>0</v>
      </c>
      <c r="J338" s="24">
        <f t="shared" si="54"/>
        <v>1</v>
      </c>
      <c r="K338" s="2">
        <v>0.25</v>
      </c>
      <c r="L338" s="27">
        <f t="shared" si="55"/>
        <v>1</v>
      </c>
      <c r="M338" s="27">
        <v>9</v>
      </c>
      <c r="N338" s="27"/>
      <c r="O338" s="27">
        <v>85</v>
      </c>
      <c r="P338" s="27"/>
      <c r="Q338" s="27"/>
      <c r="R338" s="27"/>
      <c r="S338" s="27"/>
      <c r="T338" s="30"/>
      <c r="U338" s="30"/>
      <c r="V338" s="30"/>
      <c r="W338" s="30"/>
      <c r="X338" s="30"/>
      <c r="Y338" s="30"/>
      <c r="Z338" s="30"/>
      <c r="AA338" s="30"/>
      <c r="AB338" s="30"/>
      <c r="AC338" s="2" t="s">
        <v>160</v>
      </c>
      <c r="AD338" s="3" t="s">
        <v>231</v>
      </c>
      <c r="AE338" s="3" t="s">
        <v>37</v>
      </c>
      <c r="AF338" s="2">
        <v>1440</v>
      </c>
      <c r="AG338" s="30">
        <v>61.1</v>
      </c>
      <c r="AH338" s="30">
        <v>1</v>
      </c>
      <c r="AI338" s="30">
        <v>1</v>
      </c>
      <c r="AJ338" s="30">
        <v>0</v>
      </c>
      <c r="AK338" s="30"/>
      <c r="AL338" s="30"/>
    </row>
    <row r="339" spans="1:38" hidden="1" x14ac:dyDescent="0.25">
      <c r="A339" s="21" t="s">
        <v>26</v>
      </c>
      <c r="B339" s="22" t="s">
        <v>232</v>
      </c>
      <c r="C339" s="3">
        <v>2015</v>
      </c>
      <c r="D339" s="3">
        <v>1</v>
      </c>
      <c r="E339" s="3" t="s">
        <v>37</v>
      </c>
      <c r="F339" s="3" t="s">
        <v>37</v>
      </c>
      <c r="G339" s="2" t="s">
        <v>37</v>
      </c>
      <c r="H339" s="21" t="s">
        <v>37</v>
      </c>
      <c r="I339" s="21" t="s">
        <v>37</v>
      </c>
      <c r="J339" s="24" t="s">
        <v>37</v>
      </c>
      <c r="K339" s="2">
        <v>0.25</v>
      </c>
      <c r="L339" s="24" t="s">
        <v>37</v>
      </c>
      <c r="M339" s="27" t="s">
        <v>37</v>
      </c>
      <c r="N339" s="27"/>
      <c r="O339" s="27" t="s">
        <v>37</v>
      </c>
      <c r="P339" s="27"/>
      <c r="Q339" s="27"/>
      <c r="R339" s="27"/>
      <c r="S339" s="27"/>
      <c r="T339" s="30"/>
      <c r="U339" s="30"/>
      <c r="V339" s="30"/>
      <c r="W339" s="30"/>
      <c r="X339" s="30"/>
      <c r="Y339" s="30"/>
      <c r="Z339" s="30"/>
      <c r="AA339" s="30"/>
      <c r="AB339" s="30"/>
      <c r="AC339" s="2" t="s">
        <v>160</v>
      </c>
      <c r="AD339" s="3" t="s">
        <v>231</v>
      </c>
      <c r="AE339" s="3" t="s">
        <v>37</v>
      </c>
      <c r="AF339" s="2" t="s">
        <v>37</v>
      </c>
      <c r="AG339" s="30" t="s">
        <v>37</v>
      </c>
      <c r="AH339" s="30">
        <v>1</v>
      </c>
      <c r="AI339" s="30">
        <v>2</v>
      </c>
      <c r="AJ339" s="30">
        <v>0</v>
      </c>
      <c r="AK339" s="30"/>
      <c r="AL339" s="30"/>
    </row>
    <row r="340" spans="1:38" hidden="1" x14ac:dyDescent="0.25">
      <c r="A340" s="21" t="s">
        <v>26</v>
      </c>
      <c r="B340" s="22" t="s">
        <v>232</v>
      </c>
      <c r="C340" s="3">
        <v>2016</v>
      </c>
      <c r="D340" s="3">
        <v>1</v>
      </c>
      <c r="E340" s="3" t="s">
        <v>37</v>
      </c>
      <c r="F340" s="3" t="s">
        <v>37</v>
      </c>
      <c r="G340" s="25">
        <v>2</v>
      </c>
      <c r="H340" s="23">
        <v>2</v>
      </c>
      <c r="I340" s="21">
        <f>G340-H340</f>
        <v>0</v>
      </c>
      <c r="J340" s="24">
        <f>H340/G340</f>
        <v>1</v>
      </c>
      <c r="K340" s="2">
        <v>0.25</v>
      </c>
      <c r="L340" s="27">
        <f>G340/(K340/0.25)</f>
        <v>2</v>
      </c>
      <c r="M340" s="27">
        <v>12.5</v>
      </c>
      <c r="N340" s="27"/>
      <c r="O340" s="27">
        <v>90</v>
      </c>
      <c r="P340" s="27"/>
      <c r="Q340" s="27"/>
      <c r="R340" s="27"/>
      <c r="S340" s="27"/>
      <c r="T340" s="30"/>
      <c r="U340" s="30"/>
      <c r="V340" s="30"/>
      <c r="W340" s="30"/>
      <c r="X340" s="30"/>
      <c r="Y340" s="30"/>
      <c r="Z340" s="30"/>
      <c r="AA340" s="30"/>
      <c r="AB340" s="30"/>
      <c r="AC340" s="2" t="s">
        <v>160</v>
      </c>
      <c r="AD340" s="3" t="s">
        <v>231</v>
      </c>
      <c r="AE340" s="3">
        <v>1.5</v>
      </c>
      <c r="AF340" s="2">
        <v>1693.5</v>
      </c>
      <c r="AG340" s="30">
        <v>65.174999999999997</v>
      </c>
      <c r="AH340" s="30">
        <v>1</v>
      </c>
      <c r="AI340" s="30">
        <v>2</v>
      </c>
      <c r="AJ340" s="30">
        <v>0</v>
      </c>
      <c r="AK340" s="30"/>
      <c r="AL340" s="30"/>
    </row>
    <row r="341" spans="1:38" hidden="1" x14ac:dyDescent="0.25">
      <c r="A341" s="21" t="s">
        <v>26</v>
      </c>
      <c r="B341" s="22" t="s">
        <v>232</v>
      </c>
      <c r="C341" s="3">
        <v>2017</v>
      </c>
      <c r="D341" s="3">
        <v>1</v>
      </c>
      <c r="E341" s="3" t="s">
        <v>37</v>
      </c>
      <c r="F341" s="3" t="s">
        <v>37</v>
      </c>
      <c r="G341" s="25">
        <v>3</v>
      </c>
      <c r="H341" s="23">
        <v>0</v>
      </c>
      <c r="I341" s="21">
        <f>G341-H341</f>
        <v>3</v>
      </c>
      <c r="J341" s="24">
        <f>H341/G341</f>
        <v>0</v>
      </c>
      <c r="K341" s="2">
        <v>0.25</v>
      </c>
      <c r="L341" s="27">
        <f>G341/(K341/0.25)</f>
        <v>3</v>
      </c>
      <c r="M341" s="27">
        <v>8.5</v>
      </c>
      <c r="N341" s="27"/>
      <c r="O341" s="27">
        <v>100</v>
      </c>
      <c r="P341" s="27"/>
      <c r="Q341" s="27"/>
      <c r="R341" s="27"/>
      <c r="S341" s="27"/>
      <c r="T341" s="30"/>
      <c r="U341" s="30"/>
      <c r="V341" s="30"/>
      <c r="W341" s="30"/>
      <c r="X341" s="30"/>
      <c r="Y341" s="30"/>
      <c r="Z341" s="30"/>
      <c r="AA341" s="30"/>
      <c r="AB341" s="30"/>
      <c r="AC341" s="2" t="s">
        <v>160</v>
      </c>
      <c r="AD341" s="3" t="s">
        <v>231</v>
      </c>
      <c r="AE341" s="3">
        <v>0.33333333333333331</v>
      </c>
      <c r="AF341" s="2">
        <v>858.66666666666663</v>
      </c>
      <c r="AG341" s="30">
        <v>62.875</v>
      </c>
      <c r="AH341" s="30">
        <v>1</v>
      </c>
      <c r="AI341" s="30">
        <v>2</v>
      </c>
      <c r="AJ341" s="30">
        <v>0</v>
      </c>
      <c r="AK341" s="30"/>
      <c r="AL341" s="30"/>
    </row>
    <row r="342" spans="1:38" hidden="1" x14ac:dyDescent="0.25">
      <c r="A342" s="21" t="s">
        <v>26</v>
      </c>
      <c r="B342" s="22" t="s">
        <v>232</v>
      </c>
      <c r="C342" s="3">
        <v>2018</v>
      </c>
      <c r="D342" s="3">
        <v>1</v>
      </c>
      <c r="E342" s="3" t="s">
        <v>37</v>
      </c>
      <c r="F342" s="3" t="s">
        <v>37</v>
      </c>
      <c r="G342" s="30" t="s">
        <v>37</v>
      </c>
      <c r="H342" s="27" t="s">
        <v>37</v>
      </c>
      <c r="I342" s="27" t="s">
        <v>37</v>
      </c>
      <c r="J342" s="27" t="s">
        <v>37</v>
      </c>
      <c r="K342" s="2" t="s">
        <v>37</v>
      </c>
      <c r="L342" s="24" t="s">
        <v>37</v>
      </c>
      <c r="M342" s="27" t="s">
        <v>37</v>
      </c>
      <c r="N342" s="27"/>
      <c r="O342" s="27" t="s">
        <v>37</v>
      </c>
      <c r="P342" s="27"/>
      <c r="Q342" s="27"/>
      <c r="R342" s="27"/>
      <c r="S342" s="27"/>
      <c r="T342" s="30"/>
      <c r="U342" s="30"/>
      <c r="V342" s="30"/>
      <c r="W342" s="30"/>
      <c r="X342" s="30"/>
      <c r="Y342" s="30"/>
      <c r="Z342" s="30"/>
      <c r="AA342" s="30"/>
      <c r="AB342" s="30"/>
      <c r="AC342" s="2" t="s">
        <v>178</v>
      </c>
      <c r="AD342" s="3" t="s">
        <v>231</v>
      </c>
      <c r="AE342" s="3" t="s">
        <v>37</v>
      </c>
      <c r="AF342" s="30" t="s">
        <v>37</v>
      </c>
      <c r="AG342" s="30" t="s">
        <v>37</v>
      </c>
      <c r="AH342" s="30">
        <v>1</v>
      </c>
      <c r="AI342" s="30">
        <v>2</v>
      </c>
      <c r="AJ342" s="30">
        <v>0</v>
      </c>
      <c r="AK342" s="30"/>
      <c r="AL342" s="30"/>
    </row>
    <row r="343" spans="1:38" hidden="1" x14ac:dyDescent="0.25">
      <c r="A343" s="21" t="s">
        <v>26</v>
      </c>
      <c r="B343" s="22" t="s">
        <v>232</v>
      </c>
      <c r="C343" s="3">
        <v>2019</v>
      </c>
      <c r="D343" s="3">
        <v>1</v>
      </c>
      <c r="E343" s="3" t="s">
        <v>37</v>
      </c>
      <c r="F343" s="3" t="s">
        <v>37</v>
      </c>
      <c r="G343" s="30">
        <f t="shared" ref="G343:G348" si="56">SUM(H343:I343)</f>
        <v>1</v>
      </c>
      <c r="H343" s="27">
        <v>0</v>
      </c>
      <c r="I343" s="21">
        <v>1</v>
      </c>
      <c r="J343" s="24">
        <f>H343/G343</f>
        <v>0</v>
      </c>
      <c r="K343" s="30">
        <v>0.25</v>
      </c>
      <c r="L343" s="27">
        <f t="shared" ref="L343:L352" si="57">G343/(K343/0.25)</f>
        <v>1</v>
      </c>
      <c r="M343" s="27">
        <f>(15+6+22+11)/4</f>
        <v>13.5</v>
      </c>
      <c r="N343" s="27"/>
      <c r="O343" s="27">
        <v>95</v>
      </c>
      <c r="P343" s="27">
        <v>25</v>
      </c>
      <c r="Q343" s="27"/>
      <c r="R343" s="27"/>
      <c r="S343" s="27"/>
      <c r="T343" s="30"/>
      <c r="U343" s="30"/>
      <c r="V343" s="30"/>
      <c r="W343" s="30"/>
      <c r="X343" s="30"/>
      <c r="Y343" s="30"/>
      <c r="Z343" s="30"/>
      <c r="AA343" s="30"/>
      <c r="AB343" s="30"/>
      <c r="AC343" s="2" t="s">
        <v>178</v>
      </c>
      <c r="AD343" s="3" t="s">
        <v>231</v>
      </c>
      <c r="AE343" s="3" t="s">
        <v>37</v>
      </c>
      <c r="AF343" s="30" t="s">
        <v>37</v>
      </c>
      <c r="AG343" s="30" t="s">
        <v>37</v>
      </c>
      <c r="AH343" s="30">
        <v>1</v>
      </c>
      <c r="AI343" s="30">
        <v>2</v>
      </c>
      <c r="AJ343" s="30">
        <v>0</v>
      </c>
      <c r="AK343" s="32">
        <v>43637</v>
      </c>
      <c r="AL343" s="30">
        <v>1</v>
      </c>
    </row>
    <row r="344" spans="1:38" hidden="1" x14ac:dyDescent="0.25">
      <c r="A344" s="21" t="s">
        <v>26</v>
      </c>
      <c r="B344" s="22" t="s">
        <v>232</v>
      </c>
      <c r="C344" s="3">
        <v>2020</v>
      </c>
      <c r="D344" s="3">
        <v>1</v>
      </c>
      <c r="E344" s="3" t="s">
        <v>37</v>
      </c>
      <c r="F344" s="3" t="s">
        <v>37</v>
      </c>
      <c r="G344" s="30">
        <f t="shared" si="56"/>
        <v>0</v>
      </c>
      <c r="H344" s="27">
        <v>0</v>
      </c>
      <c r="I344" s="21">
        <v>0</v>
      </c>
      <c r="J344" s="24" t="s">
        <v>37</v>
      </c>
      <c r="K344" s="30">
        <v>0.25</v>
      </c>
      <c r="L344" s="27">
        <f t="shared" si="57"/>
        <v>0</v>
      </c>
      <c r="M344" s="27">
        <v>16.75</v>
      </c>
      <c r="N344" s="27"/>
      <c r="O344" s="27">
        <v>90</v>
      </c>
      <c r="P344" s="27">
        <v>80</v>
      </c>
      <c r="Q344" s="27"/>
      <c r="R344" s="27">
        <v>10</v>
      </c>
      <c r="S344" s="27" t="s">
        <v>202</v>
      </c>
      <c r="T344" s="30"/>
      <c r="U344" s="30"/>
      <c r="V344" s="30"/>
      <c r="W344" s="30"/>
      <c r="X344" s="30"/>
      <c r="Y344" s="30"/>
      <c r="Z344" s="30"/>
      <c r="AA344" s="30"/>
      <c r="AB344" s="30"/>
      <c r="AC344" s="2" t="s">
        <v>178</v>
      </c>
      <c r="AD344" s="3" t="s">
        <v>231</v>
      </c>
      <c r="AE344" s="3" t="s">
        <v>37</v>
      </c>
      <c r="AF344" s="30" t="s">
        <v>37</v>
      </c>
      <c r="AG344" s="30"/>
      <c r="AH344" s="30">
        <v>1</v>
      </c>
      <c r="AI344" s="30">
        <v>2</v>
      </c>
      <c r="AJ344" s="30">
        <v>0</v>
      </c>
      <c r="AK344" s="32" t="s">
        <v>163</v>
      </c>
      <c r="AL344" s="30"/>
    </row>
    <row r="345" spans="1:38" hidden="1" x14ac:dyDescent="0.25">
      <c r="A345" s="21" t="s">
        <v>26</v>
      </c>
      <c r="B345" s="22" t="s">
        <v>232</v>
      </c>
      <c r="C345" s="3">
        <v>2021</v>
      </c>
      <c r="D345" s="3">
        <v>1</v>
      </c>
      <c r="E345" s="3" t="s">
        <v>37</v>
      </c>
      <c r="F345" s="3" t="s">
        <v>37</v>
      </c>
      <c r="G345" s="30">
        <f t="shared" si="56"/>
        <v>0</v>
      </c>
      <c r="H345" s="27">
        <v>0</v>
      </c>
      <c r="I345" s="21">
        <v>0</v>
      </c>
      <c r="J345" s="24" t="s">
        <v>37</v>
      </c>
      <c r="K345" s="30">
        <v>0.25</v>
      </c>
      <c r="L345" s="27">
        <f t="shared" si="57"/>
        <v>0</v>
      </c>
      <c r="M345" s="27">
        <v>16.75</v>
      </c>
      <c r="N345" s="27"/>
      <c r="O345" s="27">
        <v>100</v>
      </c>
      <c r="P345" s="27">
        <v>5</v>
      </c>
      <c r="Q345" s="27">
        <v>0</v>
      </c>
      <c r="R345" s="27"/>
      <c r="S345" s="27"/>
      <c r="T345" s="30"/>
      <c r="U345" s="30"/>
      <c r="V345" s="30"/>
      <c r="W345" s="30">
        <v>24</v>
      </c>
      <c r="X345" s="30">
        <v>24</v>
      </c>
      <c r="Y345" s="30">
        <v>28</v>
      </c>
      <c r="Z345" s="30">
        <v>33</v>
      </c>
      <c r="AA345" s="30"/>
      <c r="AB345" s="30"/>
      <c r="AD345" s="3" t="s">
        <v>231</v>
      </c>
      <c r="AE345" s="3" t="s">
        <v>37</v>
      </c>
      <c r="AF345" s="30" t="s">
        <v>37</v>
      </c>
      <c r="AG345" s="30"/>
      <c r="AH345" s="30">
        <v>1</v>
      </c>
      <c r="AI345" s="30">
        <v>2</v>
      </c>
      <c r="AJ345" s="30">
        <v>0</v>
      </c>
      <c r="AK345" s="32">
        <v>44379</v>
      </c>
      <c r="AL345" s="30"/>
    </row>
    <row r="346" spans="1:38" hidden="1" x14ac:dyDescent="0.25">
      <c r="A346" s="40" t="s">
        <v>26</v>
      </c>
      <c r="B346" s="40" t="s">
        <v>232</v>
      </c>
      <c r="C346" s="34">
        <v>2022</v>
      </c>
      <c r="D346" s="34">
        <v>1</v>
      </c>
      <c r="E346" s="3" t="s">
        <v>37</v>
      </c>
      <c r="F346" s="3" t="s">
        <v>37</v>
      </c>
      <c r="G346" s="30">
        <f t="shared" si="56"/>
        <v>0</v>
      </c>
      <c r="H346" s="27">
        <v>0</v>
      </c>
      <c r="I346" s="27">
        <v>0</v>
      </c>
      <c r="J346" s="24" t="s">
        <v>37</v>
      </c>
      <c r="K346" s="30">
        <v>0.25</v>
      </c>
      <c r="L346" s="27">
        <f t="shared" si="57"/>
        <v>0</v>
      </c>
      <c r="M346" s="27">
        <f>AVERAGE(W346:Z346)</f>
        <v>21.75</v>
      </c>
      <c r="N346" s="27"/>
      <c r="O346" s="27">
        <v>97</v>
      </c>
      <c r="P346" s="27">
        <v>7</v>
      </c>
      <c r="Q346" s="27">
        <v>5</v>
      </c>
      <c r="R346" s="27">
        <v>1</v>
      </c>
      <c r="S346" s="40" t="s">
        <v>202</v>
      </c>
      <c r="T346" s="41" t="s">
        <v>502</v>
      </c>
      <c r="U346" s="30">
        <v>3</v>
      </c>
      <c r="V346" s="30"/>
      <c r="W346" s="30">
        <v>18</v>
      </c>
      <c r="X346" s="30">
        <v>17</v>
      </c>
      <c r="Y346" s="30">
        <v>23</v>
      </c>
      <c r="Z346" s="30">
        <v>29</v>
      </c>
      <c r="AA346" s="30"/>
      <c r="AB346" s="30"/>
      <c r="AD346" s="30"/>
      <c r="AE346" s="30"/>
      <c r="AF346" s="41" t="s">
        <v>37</v>
      </c>
      <c r="AG346" s="30"/>
      <c r="AH346" s="30"/>
      <c r="AI346" s="30"/>
      <c r="AJ346" s="30"/>
      <c r="AK346" s="32">
        <v>44747</v>
      </c>
      <c r="AL346" s="30"/>
    </row>
    <row r="347" spans="1:38" hidden="1" x14ac:dyDescent="0.25">
      <c r="A347" s="40" t="s">
        <v>26</v>
      </c>
      <c r="B347" s="40" t="s">
        <v>232</v>
      </c>
      <c r="C347" s="34">
        <v>2023</v>
      </c>
      <c r="D347" s="34">
        <v>1</v>
      </c>
      <c r="E347" s="3" t="s">
        <v>37</v>
      </c>
      <c r="F347" s="3" t="s">
        <v>37</v>
      </c>
      <c r="G347" s="30">
        <f t="shared" si="56"/>
        <v>0</v>
      </c>
      <c r="H347" s="27">
        <v>0</v>
      </c>
      <c r="I347" s="27">
        <v>0</v>
      </c>
      <c r="J347" s="24" t="s">
        <v>37</v>
      </c>
      <c r="K347" s="30">
        <v>0.25</v>
      </c>
      <c r="L347" s="27">
        <f t="shared" si="57"/>
        <v>0</v>
      </c>
      <c r="M347" s="27">
        <f>AVERAGE(W347:Z347)</f>
        <v>22</v>
      </c>
      <c r="N347" s="19">
        <f>AVERAGE(AA347:AB347)</f>
        <v>38</v>
      </c>
      <c r="O347" s="27">
        <v>94</v>
      </c>
      <c r="P347" s="27">
        <v>4</v>
      </c>
      <c r="Q347" s="27">
        <v>9</v>
      </c>
      <c r="R347" s="27">
        <v>13</v>
      </c>
      <c r="S347" s="59" t="s">
        <v>611</v>
      </c>
      <c r="T347" s="57" t="s">
        <v>502</v>
      </c>
      <c r="U347" s="30">
        <v>9</v>
      </c>
      <c r="V347" s="30"/>
      <c r="W347" s="30">
        <v>28</v>
      </c>
      <c r="X347" s="30">
        <v>16</v>
      </c>
      <c r="Y347" s="30">
        <v>21</v>
      </c>
      <c r="Z347" s="30">
        <v>23</v>
      </c>
      <c r="AA347" s="30">
        <v>38</v>
      </c>
      <c r="AB347" s="30">
        <v>38</v>
      </c>
      <c r="AD347" s="30"/>
      <c r="AE347" s="30"/>
      <c r="AF347" s="41" t="s">
        <v>37</v>
      </c>
      <c r="AG347" s="30"/>
      <c r="AH347" s="57" t="s">
        <v>577</v>
      </c>
      <c r="AI347" s="30"/>
      <c r="AJ347" s="30"/>
      <c r="AK347" s="32">
        <v>44747</v>
      </c>
      <c r="AL347" s="30"/>
    </row>
    <row r="348" spans="1:38" hidden="1" x14ac:dyDescent="0.25">
      <c r="A348" s="40" t="s">
        <v>26</v>
      </c>
      <c r="B348" s="40" t="s">
        <v>232</v>
      </c>
      <c r="C348" s="34">
        <v>2024</v>
      </c>
      <c r="D348" s="34">
        <v>1</v>
      </c>
      <c r="E348" s="3" t="s">
        <v>37</v>
      </c>
      <c r="F348" s="3" t="s">
        <v>37</v>
      </c>
      <c r="G348" s="14">
        <f t="shared" si="56"/>
        <v>0</v>
      </c>
      <c r="H348" s="19">
        <v>0</v>
      </c>
      <c r="I348" s="19">
        <v>0</v>
      </c>
      <c r="J348" s="24" t="s">
        <v>37</v>
      </c>
      <c r="K348" s="14">
        <v>0.25</v>
      </c>
      <c r="L348" s="19">
        <f t="shared" si="57"/>
        <v>0</v>
      </c>
      <c r="M348" s="19">
        <f>AVERAGE(X348:Z348)</f>
        <v>16</v>
      </c>
      <c r="O348" s="19">
        <v>99</v>
      </c>
      <c r="P348" s="19">
        <v>5</v>
      </c>
      <c r="Q348" s="19">
        <v>1</v>
      </c>
      <c r="W348" s="14">
        <v>17</v>
      </c>
      <c r="X348" s="14">
        <v>18</v>
      </c>
      <c r="Y348" s="14">
        <v>15</v>
      </c>
      <c r="Z348" s="14">
        <v>15</v>
      </c>
    </row>
    <row r="349" spans="1:38" hidden="1" x14ac:dyDescent="0.25">
      <c r="A349" s="21" t="s">
        <v>26</v>
      </c>
      <c r="B349" s="27" t="s">
        <v>234</v>
      </c>
      <c r="C349" s="3">
        <v>2014</v>
      </c>
      <c r="D349" s="3">
        <v>1</v>
      </c>
      <c r="E349" s="3" t="s">
        <v>37</v>
      </c>
      <c r="F349" s="3" t="s">
        <v>37</v>
      </c>
      <c r="G349" s="2">
        <v>7</v>
      </c>
      <c r="H349" s="21">
        <v>1</v>
      </c>
      <c r="I349" s="21">
        <f>G349-H349</f>
        <v>6</v>
      </c>
      <c r="J349" s="24">
        <f>H349/G349</f>
        <v>0.14285714285714285</v>
      </c>
      <c r="K349" s="2">
        <v>0.25</v>
      </c>
      <c r="L349" s="27">
        <f t="shared" si="57"/>
        <v>7</v>
      </c>
      <c r="M349" s="27">
        <v>10</v>
      </c>
      <c r="N349" s="27"/>
      <c r="O349" s="27">
        <v>70</v>
      </c>
      <c r="P349" s="27"/>
      <c r="Q349" s="27"/>
      <c r="R349" s="27"/>
      <c r="S349" s="27"/>
      <c r="T349" s="30"/>
      <c r="U349" s="30"/>
      <c r="V349" s="30"/>
      <c r="W349" s="30"/>
      <c r="X349" s="30"/>
      <c r="Y349" s="30"/>
      <c r="Z349" s="30"/>
      <c r="AA349" s="30"/>
      <c r="AB349" s="30"/>
      <c r="AC349" s="2" t="s">
        <v>160</v>
      </c>
      <c r="AD349" s="3" t="s">
        <v>233</v>
      </c>
      <c r="AE349" s="3">
        <v>0.42857142857142855</v>
      </c>
      <c r="AF349" s="2">
        <v>1268.0857142857144</v>
      </c>
      <c r="AG349" s="30">
        <v>56.6</v>
      </c>
      <c r="AH349" s="30">
        <v>1</v>
      </c>
      <c r="AI349" s="30">
        <v>1</v>
      </c>
      <c r="AJ349" s="30">
        <v>0</v>
      </c>
      <c r="AK349" s="30"/>
      <c r="AL349" s="30"/>
    </row>
    <row r="350" spans="1:38" hidden="1" x14ac:dyDescent="0.25">
      <c r="A350" s="21" t="s">
        <v>26</v>
      </c>
      <c r="B350" s="27" t="s">
        <v>234</v>
      </c>
      <c r="C350" s="3">
        <v>2015</v>
      </c>
      <c r="D350" s="3">
        <v>1</v>
      </c>
      <c r="E350" s="3" t="s">
        <v>37</v>
      </c>
      <c r="F350" s="3" t="s">
        <v>37</v>
      </c>
      <c r="G350" s="2">
        <v>3</v>
      </c>
      <c r="H350" s="21">
        <v>0</v>
      </c>
      <c r="I350" s="21">
        <f>G350-H350</f>
        <v>3</v>
      </c>
      <c r="J350" s="24">
        <f>H350/G350</f>
        <v>0</v>
      </c>
      <c r="K350" s="2">
        <v>0.25</v>
      </c>
      <c r="L350" s="27">
        <f t="shared" si="57"/>
        <v>3</v>
      </c>
      <c r="M350" s="27" t="s">
        <v>37</v>
      </c>
      <c r="N350" s="27"/>
      <c r="O350" s="27" t="s">
        <v>37</v>
      </c>
      <c r="P350" s="27"/>
      <c r="Q350" s="27"/>
      <c r="R350" s="27"/>
      <c r="S350" s="27"/>
      <c r="T350" s="30"/>
      <c r="U350" s="30"/>
      <c r="V350" s="30"/>
      <c r="W350" s="30"/>
      <c r="X350" s="30"/>
      <c r="Y350" s="30"/>
      <c r="Z350" s="30"/>
      <c r="AA350" s="30"/>
      <c r="AB350" s="30"/>
      <c r="AC350" s="2" t="s">
        <v>160</v>
      </c>
      <c r="AD350" s="3" t="s">
        <v>233</v>
      </c>
      <c r="AE350" s="3">
        <v>1</v>
      </c>
      <c r="AF350" s="2">
        <v>2465.6666666666665</v>
      </c>
      <c r="AG350" s="30" t="s">
        <v>37</v>
      </c>
      <c r="AH350" s="30">
        <v>1</v>
      </c>
      <c r="AI350" s="30">
        <v>2</v>
      </c>
      <c r="AJ350" s="30">
        <v>0</v>
      </c>
      <c r="AK350" s="30"/>
      <c r="AL350" s="30"/>
    </row>
    <row r="351" spans="1:38" hidden="1" x14ac:dyDescent="0.25">
      <c r="A351" s="21" t="s">
        <v>26</v>
      </c>
      <c r="B351" s="27" t="s">
        <v>234</v>
      </c>
      <c r="C351" s="3">
        <v>2016</v>
      </c>
      <c r="D351" s="3">
        <v>1</v>
      </c>
      <c r="E351" s="3" t="s">
        <v>37</v>
      </c>
      <c r="F351" s="3" t="s">
        <v>37</v>
      </c>
      <c r="G351" s="25">
        <v>3</v>
      </c>
      <c r="H351" s="23">
        <v>2</v>
      </c>
      <c r="I351" s="21">
        <f>G351-H351</f>
        <v>1</v>
      </c>
      <c r="J351" s="24">
        <f>H351/G351</f>
        <v>0.66666666666666663</v>
      </c>
      <c r="K351" s="2">
        <v>0.25</v>
      </c>
      <c r="L351" s="27">
        <f t="shared" si="57"/>
        <v>3</v>
      </c>
      <c r="M351" s="27">
        <v>13.5</v>
      </c>
      <c r="N351" s="27"/>
      <c r="O351" s="27">
        <v>100</v>
      </c>
      <c r="P351" s="27"/>
      <c r="Q351" s="27"/>
      <c r="R351" s="27"/>
      <c r="S351" s="27"/>
      <c r="T351" s="30"/>
      <c r="U351" s="30"/>
      <c r="V351" s="30"/>
      <c r="W351" s="30"/>
      <c r="X351" s="30"/>
      <c r="Y351" s="30"/>
      <c r="Z351" s="30"/>
      <c r="AA351" s="30"/>
      <c r="AB351" s="30"/>
      <c r="AC351" s="2" t="s">
        <v>160</v>
      </c>
      <c r="AD351" s="3" t="s">
        <v>233</v>
      </c>
      <c r="AE351" s="3">
        <v>2.3333333333333335</v>
      </c>
      <c r="AF351" s="2">
        <v>1722.67</v>
      </c>
      <c r="AG351" s="30">
        <v>70.8</v>
      </c>
      <c r="AH351" s="30">
        <v>1</v>
      </c>
      <c r="AI351" s="30">
        <v>2</v>
      </c>
      <c r="AJ351" s="30">
        <v>0</v>
      </c>
      <c r="AK351" s="30"/>
      <c r="AL351" s="30"/>
    </row>
    <row r="352" spans="1:38" hidden="1" x14ac:dyDescent="0.25">
      <c r="A352" s="21" t="s">
        <v>26</v>
      </c>
      <c r="B352" s="27" t="s">
        <v>234</v>
      </c>
      <c r="C352" s="3">
        <v>2017</v>
      </c>
      <c r="D352" s="3">
        <v>1</v>
      </c>
      <c r="E352" s="3" t="s">
        <v>37</v>
      </c>
      <c r="F352" s="3" t="s">
        <v>37</v>
      </c>
      <c r="G352" s="25">
        <v>7</v>
      </c>
      <c r="H352" s="23">
        <v>1</v>
      </c>
      <c r="I352" s="21">
        <f>G352-H352</f>
        <v>6</v>
      </c>
      <c r="J352" s="24">
        <f>H352/G352</f>
        <v>0.14285714285714285</v>
      </c>
      <c r="K352" s="2">
        <v>0.25</v>
      </c>
      <c r="L352" s="27">
        <f t="shared" si="57"/>
        <v>7</v>
      </c>
      <c r="M352" s="27">
        <v>8.25</v>
      </c>
      <c r="N352" s="27"/>
      <c r="O352" s="27">
        <v>100</v>
      </c>
      <c r="P352" s="27"/>
      <c r="Q352" s="27"/>
      <c r="R352" s="27"/>
      <c r="S352" s="27"/>
      <c r="T352" s="30"/>
      <c r="U352" s="30"/>
      <c r="V352" s="30"/>
      <c r="W352" s="30"/>
      <c r="X352" s="30"/>
      <c r="Y352" s="30"/>
      <c r="Z352" s="30"/>
      <c r="AA352" s="30"/>
      <c r="AB352" s="30"/>
      <c r="AC352" s="2" t="s">
        <v>160</v>
      </c>
      <c r="AD352" s="3" t="s">
        <v>233</v>
      </c>
      <c r="AE352" s="3">
        <v>0.42857142857142855</v>
      </c>
      <c r="AF352" s="2">
        <v>1225.1428571428571</v>
      </c>
      <c r="AG352" s="30">
        <v>58.825000000000003</v>
      </c>
      <c r="AH352" s="30">
        <v>1</v>
      </c>
      <c r="AI352" s="30">
        <v>2</v>
      </c>
      <c r="AJ352" s="30">
        <v>0</v>
      </c>
      <c r="AK352" s="30"/>
      <c r="AL352" s="30"/>
    </row>
    <row r="353" spans="1:38" hidden="1" x14ac:dyDescent="0.25">
      <c r="A353" s="21" t="s">
        <v>26</v>
      </c>
      <c r="B353" s="27" t="s">
        <v>234</v>
      </c>
      <c r="C353" s="3">
        <v>2018</v>
      </c>
      <c r="D353" s="3">
        <v>1</v>
      </c>
      <c r="E353" s="3" t="s">
        <v>37</v>
      </c>
      <c r="F353" s="3" t="s">
        <v>37</v>
      </c>
      <c r="G353" s="30" t="s">
        <v>37</v>
      </c>
      <c r="H353" s="27" t="s">
        <v>37</v>
      </c>
      <c r="I353" s="27" t="s">
        <v>37</v>
      </c>
      <c r="J353" s="27" t="s">
        <v>37</v>
      </c>
      <c r="K353" s="2" t="s">
        <v>37</v>
      </c>
      <c r="L353" s="24" t="s">
        <v>37</v>
      </c>
      <c r="M353" s="27" t="s">
        <v>37</v>
      </c>
      <c r="N353" s="27"/>
      <c r="O353" s="27" t="s">
        <v>37</v>
      </c>
      <c r="P353" s="27"/>
      <c r="Q353" s="27"/>
      <c r="R353" s="27"/>
      <c r="S353" s="27"/>
      <c r="T353" s="30"/>
      <c r="U353" s="30"/>
      <c r="V353" s="30"/>
      <c r="W353" s="30"/>
      <c r="X353" s="30"/>
      <c r="Y353" s="30"/>
      <c r="Z353" s="30"/>
      <c r="AA353" s="30"/>
      <c r="AB353" s="30"/>
      <c r="AC353" s="2" t="s">
        <v>178</v>
      </c>
      <c r="AD353" s="3" t="s">
        <v>233</v>
      </c>
      <c r="AE353" s="3" t="s">
        <v>37</v>
      </c>
      <c r="AF353" s="30" t="s">
        <v>37</v>
      </c>
      <c r="AG353" s="30" t="s">
        <v>37</v>
      </c>
      <c r="AH353" s="30">
        <v>1</v>
      </c>
      <c r="AI353" s="30">
        <v>2</v>
      </c>
      <c r="AJ353" s="30">
        <v>0</v>
      </c>
      <c r="AK353" s="30"/>
      <c r="AL353" s="30"/>
    </row>
    <row r="354" spans="1:38" hidden="1" x14ac:dyDescent="0.25">
      <c r="A354" s="21" t="s">
        <v>26</v>
      </c>
      <c r="B354" s="27" t="s">
        <v>234</v>
      </c>
      <c r="C354" s="3">
        <v>2019</v>
      </c>
      <c r="D354" s="3">
        <v>1</v>
      </c>
      <c r="E354" s="3" t="s">
        <v>37</v>
      </c>
      <c r="F354" s="3" t="s">
        <v>37</v>
      </c>
      <c r="G354" s="30">
        <f t="shared" ref="G354:G359" si="58">SUM(H354:I354)</f>
        <v>3</v>
      </c>
      <c r="H354" s="27">
        <v>0</v>
      </c>
      <c r="I354" s="21">
        <v>3</v>
      </c>
      <c r="J354" s="24">
        <f t="shared" ref="J354:J363" si="59">H354/G354</f>
        <v>0</v>
      </c>
      <c r="K354" s="30">
        <v>0.25</v>
      </c>
      <c r="L354" s="27">
        <f t="shared" ref="L354:L363" si="60">G354/(K354/0.25)</f>
        <v>3</v>
      </c>
      <c r="M354" s="27">
        <f>(11+7+10+22)/4</f>
        <v>12.5</v>
      </c>
      <c r="N354" s="27"/>
      <c r="O354" s="27">
        <v>80</v>
      </c>
      <c r="P354" s="27">
        <v>5</v>
      </c>
      <c r="Q354" s="27"/>
      <c r="R354" s="27"/>
      <c r="S354" s="27"/>
      <c r="T354" s="30"/>
      <c r="U354" s="30"/>
      <c r="V354" s="30"/>
      <c r="W354" s="30"/>
      <c r="X354" s="30"/>
      <c r="Y354" s="30"/>
      <c r="Z354" s="30"/>
      <c r="AA354" s="30"/>
      <c r="AB354" s="30"/>
      <c r="AC354" s="2" t="s">
        <v>178</v>
      </c>
      <c r="AD354" s="3" t="s">
        <v>233</v>
      </c>
      <c r="AE354" s="3">
        <v>3</v>
      </c>
      <c r="AF354" s="30" t="s">
        <v>37</v>
      </c>
      <c r="AG354" s="30" t="s">
        <v>37</v>
      </c>
      <c r="AH354" s="30">
        <v>1</v>
      </c>
      <c r="AI354" s="30">
        <v>2</v>
      </c>
      <c r="AJ354" s="30">
        <v>0</v>
      </c>
      <c r="AK354" s="32">
        <v>43637</v>
      </c>
      <c r="AL354" s="30">
        <v>2</v>
      </c>
    </row>
    <row r="355" spans="1:38" hidden="1" x14ac:dyDescent="0.25">
      <c r="A355" s="21" t="s">
        <v>26</v>
      </c>
      <c r="B355" s="27" t="s">
        <v>234</v>
      </c>
      <c r="C355" s="3">
        <v>2020</v>
      </c>
      <c r="D355" s="3">
        <v>1</v>
      </c>
      <c r="E355" s="3" t="s">
        <v>37</v>
      </c>
      <c r="F355" s="3" t="s">
        <v>37</v>
      </c>
      <c r="G355" s="30">
        <f t="shared" si="58"/>
        <v>9</v>
      </c>
      <c r="H355" s="27">
        <v>3</v>
      </c>
      <c r="I355" s="21">
        <v>6</v>
      </c>
      <c r="J355" s="24">
        <f t="shared" si="59"/>
        <v>0.33333333333333331</v>
      </c>
      <c r="K355" s="30">
        <v>0.25</v>
      </c>
      <c r="L355" s="27">
        <f t="shared" si="60"/>
        <v>9</v>
      </c>
      <c r="M355" s="27">
        <v>18</v>
      </c>
      <c r="N355" s="27"/>
      <c r="O355" s="27">
        <v>100</v>
      </c>
      <c r="P355" s="27">
        <v>0</v>
      </c>
      <c r="Q355" s="27"/>
      <c r="R355" s="27"/>
      <c r="S355" s="27"/>
      <c r="T355" s="30" t="s">
        <v>184</v>
      </c>
      <c r="U355" s="30"/>
      <c r="V355" s="30"/>
      <c r="W355" s="30"/>
      <c r="X355" s="30"/>
      <c r="Y355" s="30"/>
      <c r="Z355" s="30"/>
      <c r="AA355" s="30"/>
      <c r="AB355" s="30"/>
      <c r="AC355" s="2" t="s">
        <v>178</v>
      </c>
      <c r="AD355" s="3" t="s">
        <v>233</v>
      </c>
      <c r="AE355" s="3" t="s">
        <v>37</v>
      </c>
      <c r="AF355" s="30" t="s">
        <v>37</v>
      </c>
      <c r="AG355" s="30"/>
      <c r="AH355" s="30">
        <v>1</v>
      </c>
      <c r="AI355" s="30">
        <v>2</v>
      </c>
      <c r="AJ355" s="30">
        <v>0</v>
      </c>
      <c r="AK355" s="32" t="s">
        <v>163</v>
      </c>
      <c r="AL355" s="30"/>
    </row>
    <row r="356" spans="1:38" hidden="1" x14ac:dyDescent="0.25">
      <c r="A356" s="27" t="s">
        <v>26</v>
      </c>
      <c r="B356" s="27" t="s">
        <v>234</v>
      </c>
      <c r="C356" s="34">
        <v>2021</v>
      </c>
      <c r="D356" s="34">
        <v>1</v>
      </c>
      <c r="E356" s="30" t="s">
        <v>37</v>
      </c>
      <c r="F356" s="30" t="s">
        <v>37</v>
      </c>
      <c r="G356" s="30">
        <f t="shared" si="58"/>
        <v>3</v>
      </c>
      <c r="H356" s="27">
        <v>2</v>
      </c>
      <c r="I356" s="27">
        <v>1</v>
      </c>
      <c r="J356" s="24">
        <f t="shared" si="59"/>
        <v>0.66666666666666663</v>
      </c>
      <c r="K356" s="30">
        <v>0.25</v>
      </c>
      <c r="L356" s="27">
        <f t="shared" si="60"/>
        <v>3</v>
      </c>
      <c r="M356" s="27">
        <f>AVERAGE(W356:Z356)</f>
        <v>30</v>
      </c>
      <c r="N356" s="27"/>
      <c r="O356" s="27">
        <v>100</v>
      </c>
      <c r="P356" s="27">
        <v>1</v>
      </c>
      <c r="Q356" s="27">
        <v>0</v>
      </c>
      <c r="R356" s="27">
        <v>0</v>
      </c>
      <c r="S356" s="27"/>
      <c r="T356" s="30"/>
      <c r="U356" s="30"/>
      <c r="V356" s="30"/>
      <c r="W356" s="30">
        <v>31</v>
      </c>
      <c r="X356" s="30">
        <v>29</v>
      </c>
      <c r="Y356" s="30">
        <v>32</v>
      </c>
      <c r="Z356" s="30">
        <v>28</v>
      </c>
      <c r="AA356" s="30"/>
      <c r="AB356" s="30"/>
      <c r="AD356" s="30" t="s">
        <v>233</v>
      </c>
      <c r="AE356" s="30" t="s">
        <v>37</v>
      </c>
      <c r="AF356" s="30" t="s">
        <v>37</v>
      </c>
      <c r="AG356" s="30" t="s">
        <v>37</v>
      </c>
      <c r="AH356" s="30">
        <v>1</v>
      </c>
      <c r="AI356" s="30">
        <v>2</v>
      </c>
      <c r="AJ356" s="30">
        <v>0</v>
      </c>
      <c r="AK356" s="32">
        <v>44379</v>
      </c>
      <c r="AL356" s="30"/>
    </row>
    <row r="357" spans="1:38" hidden="1" x14ac:dyDescent="0.25">
      <c r="A357" s="40" t="s">
        <v>26</v>
      </c>
      <c r="B357" s="40" t="s">
        <v>234</v>
      </c>
      <c r="C357" s="34">
        <v>2022</v>
      </c>
      <c r="D357" s="34">
        <v>1</v>
      </c>
      <c r="E357" s="30" t="s">
        <v>37</v>
      </c>
      <c r="F357" s="30" t="s">
        <v>37</v>
      </c>
      <c r="G357" s="30">
        <f t="shared" si="58"/>
        <v>6</v>
      </c>
      <c r="H357" s="27">
        <v>0</v>
      </c>
      <c r="I357" s="27">
        <v>6</v>
      </c>
      <c r="J357" s="24">
        <f t="shared" si="59"/>
        <v>0</v>
      </c>
      <c r="K357" s="30">
        <v>0.25</v>
      </c>
      <c r="L357" s="27">
        <f t="shared" si="60"/>
        <v>6</v>
      </c>
      <c r="M357" s="27">
        <f>AVERAGE(W357:Z357)</f>
        <v>25.25</v>
      </c>
      <c r="N357" s="27"/>
      <c r="O357" s="27">
        <v>99</v>
      </c>
      <c r="P357" s="27">
        <v>2</v>
      </c>
      <c r="Q357" s="27">
        <v>6</v>
      </c>
      <c r="R357" s="27">
        <v>0</v>
      </c>
      <c r="S357" s="47" t="s">
        <v>37</v>
      </c>
      <c r="T357" s="41" t="s">
        <v>502</v>
      </c>
      <c r="U357" s="30">
        <v>5</v>
      </c>
      <c r="V357" s="30"/>
      <c r="W357" s="30">
        <v>20</v>
      </c>
      <c r="X357" s="30">
        <v>21</v>
      </c>
      <c r="Y357" s="30">
        <v>37</v>
      </c>
      <c r="Z357" s="30">
        <v>23</v>
      </c>
      <c r="AA357" s="30"/>
      <c r="AB357" s="30"/>
      <c r="AD357" s="30"/>
      <c r="AE357" s="30"/>
      <c r="AF357" s="41" t="s">
        <v>37</v>
      </c>
      <c r="AG357" s="30"/>
      <c r="AH357" s="30"/>
      <c r="AI357" s="30"/>
      <c r="AJ357" s="30"/>
      <c r="AK357" s="32">
        <v>44747</v>
      </c>
      <c r="AL357" s="30"/>
    </row>
    <row r="358" spans="1:38" hidden="1" x14ac:dyDescent="0.25">
      <c r="A358" s="40" t="s">
        <v>26</v>
      </c>
      <c r="B358" s="40" t="s">
        <v>234</v>
      </c>
      <c r="C358" s="34">
        <v>2023</v>
      </c>
      <c r="D358" s="34">
        <v>1</v>
      </c>
      <c r="E358" s="30" t="s">
        <v>37</v>
      </c>
      <c r="F358" s="30" t="s">
        <v>37</v>
      </c>
      <c r="G358" s="30">
        <f t="shared" si="58"/>
        <v>11</v>
      </c>
      <c r="H358" s="27">
        <v>1</v>
      </c>
      <c r="I358" s="27">
        <v>10</v>
      </c>
      <c r="J358" s="24">
        <f t="shared" si="59"/>
        <v>9.0909090909090912E-2</v>
      </c>
      <c r="K358" s="30">
        <v>0.25</v>
      </c>
      <c r="L358" s="27">
        <f t="shared" si="60"/>
        <v>11</v>
      </c>
      <c r="M358" s="27">
        <f>AVERAGE(W358:Z358)</f>
        <v>22</v>
      </c>
      <c r="N358" s="19">
        <f>AVERAGE(AA358:AB358)</f>
        <v>33.5</v>
      </c>
      <c r="O358" s="27">
        <v>97</v>
      </c>
      <c r="P358" s="27">
        <v>1</v>
      </c>
      <c r="Q358" s="27">
        <v>2</v>
      </c>
      <c r="R358" s="27">
        <v>6</v>
      </c>
      <c r="S358" s="59" t="s">
        <v>611</v>
      </c>
      <c r="T358" s="57" t="s">
        <v>502</v>
      </c>
      <c r="U358" s="30">
        <v>24</v>
      </c>
      <c r="V358" s="57" t="s">
        <v>612</v>
      </c>
      <c r="W358" s="30">
        <v>20</v>
      </c>
      <c r="X358" s="30">
        <v>27</v>
      </c>
      <c r="Y358" s="30">
        <v>14</v>
      </c>
      <c r="Z358" s="30">
        <v>27</v>
      </c>
      <c r="AA358" s="30">
        <v>38</v>
      </c>
      <c r="AB358" s="30">
        <v>29</v>
      </c>
      <c r="AD358" s="30"/>
      <c r="AE358" s="30"/>
      <c r="AF358" s="41" t="s">
        <v>37</v>
      </c>
      <c r="AG358" s="30"/>
      <c r="AH358" s="57" t="s">
        <v>577</v>
      </c>
      <c r="AI358" s="30"/>
      <c r="AJ358" s="30"/>
      <c r="AK358" s="32">
        <v>44747</v>
      </c>
      <c r="AL358" s="30"/>
    </row>
    <row r="359" spans="1:38" hidden="1" x14ac:dyDescent="0.25">
      <c r="A359" s="40" t="s">
        <v>26</v>
      </c>
      <c r="B359" s="40" t="s">
        <v>234</v>
      </c>
      <c r="C359" s="34">
        <v>2024</v>
      </c>
      <c r="D359" s="34">
        <v>1</v>
      </c>
      <c r="E359" s="30" t="s">
        <v>37</v>
      </c>
      <c r="F359" s="30" t="s">
        <v>37</v>
      </c>
      <c r="G359" s="14">
        <f t="shared" si="58"/>
        <v>10</v>
      </c>
      <c r="H359" s="19">
        <v>1</v>
      </c>
      <c r="I359" s="19">
        <v>9</v>
      </c>
      <c r="J359" s="24">
        <f t="shared" si="59"/>
        <v>0.1</v>
      </c>
      <c r="K359" s="14">
        <v>0.25</v>
      </c>
      <c r="L359" s="19">
        <f t="shared" si="60"/>
        <v>10</v>
      </c>
      <c r="M359" s="19">
        <f>AVERAGE(X359:Z359)</f>
        <v>17</v>
      </c>
      <c r="O359" s="19">
        <v>92</v>
      </c>
      <c r="P359" s="19">
        <v>2</v>
      </c>
      <c r="Q359" s="19">
        <v>1</v>
      </c>
      <c r="W359" s="14">
        <v>18</v>
      </c>
      <c r="X359" s="14">
        <v>20</v>
      </c>
      <c r="Y359" s="14">
        <v>15</v>
      </c>
      <c r="Z359" s="14">
        <v>16</v>
      </c>
    </row>
    <row r="360" spans="1:38" hidden="1" x14ac:dyDescent="0.25">
      <c r="A360" s="21" t="s">
        <v>558</v>
      </c>
      <c r="B360" s="27" t="s">
        <v>238</v>
      </c>
      <c r="C360" s="3">
        <v>2014</v>
      </c>
      <c r="D360" s="3">
        <v>1</v>
      </c>
      <c r="E360" s="3" t="s">
        <v>37</v>
      </c>
      <c r="F360" s="3" t="s">
        <v>37</v>
      </c>
      <c r="G360" s="2">
        <v>12</v>
      </c>
      <c r="H360" s="21">
        <v>3</v>
      </c>
      <c r="I360" s="21">
        <f>G360-H360</f>
        <v>9</v>
      </c>
      <c r="J360" s="24">
        <f t="shared" si="59"/>
        <v>0.25</v>
      </c>
      <c r="K360" s="2">
        <v>0.25</v>
      </c>
      <c r="L360" s="27">
        <f t="shared" si="60"/>
        <v>12</v>
      </c>
      <c r="M360" s="27">
        <v>3</v>
      </c>
      <c r="N360" s="27"/>
      <c r="O360" s="27">
        <v>80</v>
      </c>
      <c r="P360" s="27"/>
      <c r="Q360" s="27"/>
      <c r="R360" s="27"/>
      <c r="S360" s="27"/>
      <c r="T360" s="30"/>
      <c r="U360" s="30"/>
      <c r="V360" s="30"/>
      <c r="W360" s="30"/>
      <c r="X360" s="30"/>
      <c r="Y360" s="30"/>
      <c r="Z360" s="30"/>
      <c r="AA360" s="30"/>
      <c r="AB360" s="30"/>
      <c r="AC360" s="2"/>
      <c r="AD360" s="3" t="s">
        <v>237</v>
      </c>
      <c r="AE360" s="3">
        <v>1.0833333333333333</v>
      </c>
      <c r="AF360" s="2">
        <v>491.83333333333331</v>
      </c>
      <c r="AG360" s="30">
        <v>18.5</v>
      </c>
      <c r="AH360" s="30"/>
      <c r="AI360" s="30"/>
      <c r="AJ360" s="30"/>
      <c r="AK360" s="30"/>
      <c r="AL360" s="30"/>
    </row>
    <row r="361" spans="1:38" hidden="1" x14ac:dyDescent="0.25">
      <c r="A361" s="21" t="s">
        <v>558</v>
      </c>
      <c r="B361" s="27" t="s">
        <v>238</v>
      </c>
      <c r="C361" s="3">
        <v>2015</v>
      </c>
      <c r="D361" s="3">
        <v>1</v>
      </c>
      <c r="E361" s="3" t="s">
        <v>37</v>
      </c>
      <c r="F361" s="3" t="s">
        <v>37</v>
      </c>
      <c r="G361" s="2">
        <v>13</v>
      </c>
      <c r="H361" s="21">
        <v>0</v>
      </c>
      <c r="I361" s="21">
        <f>G361-H361</f>
        <v>13</v>
      </c>
      <c r="J361" s="24">
        <f t="shared" si="59"/>
        <v>0</v>
      </c>
      <c r="K361" s="2">
        <v>0.25</v>
      </c>
      <c r="L361" s="27">
        <f t="shared" si="60"/>
        <v>13</v>
      </c>
      <c r="M361" s="27" t="s">
        <v>37</v>
      </c>
      <c r="N361" s="27"/>
      <c r="O361" s="27" t="s">
        <v>37</v>
      </c>
      <c r="P361" s="27"/>
      <c r="Q361" s="27"/>
      <c r="R361" s="27"/>
      <c r="S361" s="27"/>
      <c r="T361" s="30"/>
      <c r="U361" s="30"/>
      <c r="V361" s="30"/>
      <c r="W361" s="30"/>
      <c r="X361" s="30"/>
      <c r="Y361" s="30"/>
      <c r="Z361" s="30"/>
      <c r="AA361" s="30"/>
      <c r="AB361" s="30"/>
      <c r="AC361" s="2"/>
      <c r="AD361" s="3" t="s">
        <v>237</v>
      </c>
      <c r="AE361" s="3">
        <v>0.92307692307692313</v>
      </c>
      <c r="AF361" s="2">
        <v>536.07692307692309</v>
      </c>
      <c r="AG361" s="30" t="s">
        <v>37</v>
      </c>
      <c r="AH361" s="30"/>
      <c r="AI361" s="30"/>
      <c r="AJ361" s="30"/>
      <c r="AK361" s="30"/>
      <c r="AL361" s="30"/>
    </row>
    <row r="362" spans="1:38" hidden="1" x14ac:dyDescent="0.25">
      <c r="A362" s="21" t="s">
        <v>558</v>
      </c>
      <c r="B362" s="27" t="s">
        <v>238</v>
      </c>
      <c r="C362" s="3">
        <v>2016</v>
      </c>
      <c r="D362" s="3">
        <v>1</v>
      </c>
      <c r="E362" s="3" t="s">
        <v>37</v>
      </c>
      <c r="F362" s="3" t="s">
        <v>37</v>
      </c>
      <c r="G362" s="25">
        <v>12</v>
      </c>
      <c r="H362" s="23">
        <v>2</v>
      </c>
      <c r="I362" s="21">
        <f>G362-H362</f>
        <v>10</v>
      </c>
      <c r="J362" s="24">
        <f t="shared" si="59"/>
        <v>0.16666666666666666</v>
      </c>
      <c r="K362" s="2">
        <v>0.25</v>
      </c>
      <c r="L362" s="27">
        <f t="shared" si="60"/>
        <v>12</v>
      </c>
      <c r="M362" s="27">
        <v>3.5</v>
      </c>
      <c r="N362" s="27"/>
      <c r="O362" s="27">
        <v>70</v>
      </c>
      <c r="P362" s="27"/>
      <c r="Q362" s="27"/>
      <c r="R362" s="27"/>
      <c r="S362" s="27"/>
      <c r="T362" s="30"/>
      <c r="U362" s="30"/>
      <c r="V362" s="30"/>
      <c r="W362" s="30"/>
      <c r="X362" s="30"/>
      <c r="Y362" s="30"/>
      <c r="Z362" s="30"/>
      <c r="AA362" s="30"/>
      <c r="AB362" s="30"/>
      <c r="AC362" s="2"/>
      <c r="AD362" s="3" t="s">
        <v>237</v>
      </c>
      <c r="AE362" s="3">
        <v>1.25</v>
      </c>
      <c r="AF362" s="2">
        <v>678.91669999999999</v>
      </c>
      <c r="AG362" s="30">
        <v>47.317500000000003</v>
      </c>
      <c r="AH362" s="30"/>
      <c r="AI362" s="30"/>
      <c r="AJ362" s="30"/>
      <c r="AK362" s="30"/>
      <c r="AL362" s="30"/>
    </row>
    <row r="363" spans="1:38" hidden="1" x14ac:dyDescent="0.25">
      <c r="A363" s="21" t="s">
        <v>558</v>
      </c>
      <c r="B363" s="27" t="s">
        <v>238</v>
      </c>
      <c r="C363" s="3">
        <v>2017</v>
      </c>
      <c r="D363" s="3">
        <v>1</v>
      </c>
      <c r="E363" s="3" t="s">
        <v>37</v>
      </c>
      <c r="F363" s="3" t="s">
        <v>37</v>
      </c>
      <c r="G363" s="25">
        <v>15</v>
      </c>
      <c r="H363" s="23">
        <v>1</v>
      </c>
      <c r="I363" s="21">
        <f>G363-H363</f>
        <v>14</v>
      </c>
      <c r="J363" s="24">
        <f t="shared" si="59"/>
        <v>6.6666666666666666E-2</v>
      </c>
      <c r="K363" s="2">
        <v>0.25</v>
      </c>
      <c r="L363" s="27">
        <f t="shared" si="60"/>
        <v>15</v>
      </c>
      <c r="M363" s="27">
        <v>5</v>
      </c>
      <c r="N363" s="27"/>
      <c r="O363" s="27">
        <v>80</v>
      </c>
      <c r="P363" s="27"/>
      <c r="Q363" s="27"/>
      <c r="R363" s="27"/>
      <c r="S363" s="27"/>
      <c r="T363" s="30"/>
      <c r="U363" s="30"/>
      <c r="V363" s="30"/>
      <c r="W363" s="30"/>
      <c r="X363" s="30"/>
      <c r="Y363" s="30"/>
      <c r="Z363" s="30"/>
      <c r="AA363" s="30"/>
      <c r="AB363" s="30"/>
      <c r="AC363" s="2"/>
      <c r="AD363" s="3" t="s">
        <v>237</v>
      </c>
      <c r="AE363" s="3">
        <v>0.6</v>
      </c>
      <c r="AF363" s="4">
        <v>508.4</v>
      </c>
      <c r="AG363" s="30">
        <v>31.824999999999999</v>
      </c>
      <c r="AH363" s="30"/>
      <c r="AI363" s="30"/>
      <c r="AJ363" s="30"/>
      <c r="AK363" s="30"/>
      <c r="AL363" s="30"/>
    </row>
    <row r="364" spans="1:38" hidden="1" x14ac:dyDescent="0.25">
      <c r="A364" s="21" t="s">
        <v>558</v>
      </c>
      <c r="B364" s="27" t="s">
        <v>238</v>
      </c>
      <c r="C364" s="3">
        <v>2018</v>
      </c>
      <c r="D364" s="3">
        <v>1</v>
      </c>
      <c r="E364" s="3" t="s">
        <v>37</v>
      </c>
      <c r="F364" s="3" t="s">
        <v>37</v>
      </c>
      <c r="G364" s="30" t="s">
        <v>37</v>
      </c>
      <c r="H364" s="27" t="s">
        <v>37</v>
      </c>
      <c r="I364" s="27" t="s">
        <v>37</v>
      </c>
      <c r="J364" s="27" t="s">
        <v>37</v>
      </c>
      <c r="K364" s="2" t="s">
        <v>37</v>
      </c>
      <c r="L364" s="24" t="s">
        <v>37</v>
      </c>
      <c r="M364" s="27" t="s">
        <v>37</v>
      </c>
      <c r="N364" s="27"/>
      <c r="O364" s="27" t="s">
        <v>37</v>
      </c>
      <c r="P364" s="27"/>
      <c r="Q364" s="27"/>
      <c r="R364" s="27"/>
      <c r="S364" s="27"/>
      <c r="T364" s="30"/>
      <c r="U364" s="30"/>
      <c r="V364" s="30"/>
      <c r="W364" s="30"/>
      <c r="X364" s="30"/>
      <c r="Y364" s="30"/>
      <c r="Z364" s="30"/>
      <c r="AA364" s="30"/>
      <c r="AB364" s="30"/>
      <c r="AC364" s="2"/>
      <c r="AD364" s="3" t="s">
        <v>237</v>
      </c>
      <c r="AE364" s="3" t="s">
        <v>37</v>
      </c>
      <c r="AF364" s="30" t="s">
        <v>37</v>
      </c>
      <c r="AG364" s="30" t="s">
        <v>37</v>
      </c>
      <c r="AH364" s="30"/>
      <c r="AI364" s="30"/>
      <c r="AJ364" s="30"/>
      <c r="AK364" s="30"/>
      <c r="AL364" s="30"/>
    </row>
    <row r="365" spans="1:38" hidden="1" x14ac:dyDescent="0.25">
      <c r="A365" s="21" t="s">
        <v>558</v>
      </c>
      <c r="B365" s="27" t="s">
        <v>238</v>
      </c>
      <c r="C365" s="3">
        <v>2019</v>
      </c>
      <c r="D365" s="3">
        <v>1</v>
      </c>
      <c r="E365" s="3" t="s">
        <v>37</v>
      </c>
      <c r="F365" s="3" t="s">
        <v>37</v>
      </c>
      <c r="G365" s="30">
        <f t="shared" ref="G365:G370" si="61">SUM(H365:I365)</f>
        <v>9</v>
      </c>
      <c r="H365" s="27">
        <v>0</v>
      </c>
      <c r="I365" s="21">
        <v>9</v>
      </c>
      <c r="J365" s="24">
        <f>H365/G365</f>
        <v>0</v>
      </c>
      <c r="K365" s="30">
        <v>0.25</v>
      </c>
      <c r="L365" s="27">
        <f t="shared" ref="L365:L374" si="62">G365/(K365/0.25)</f>
        <v>9</v>
      </c>
      <c r="M365" s="27">
        <f>(3+5+4+3)/4</f>
        <v>3.75</v>
      </c>
      <c r="N365" s="27"/>
      <c r="O365" s="27">
        <v>50</v>
      </c>
      <c r="P365" s="27">
        <v>5</v>
      </c>
      <c r="Q365" s="27"/>
      <c r="R365" s="27"/>
      <c r="S365" s="27"/>
      <c r="T365" s="30"/>
      <c r="U365" s="30"/>
      <c r="V365" s="30"/>
      <c r="W365" s="30"/>
      <c r="X365" s="30"/>
      <c r="Y365" s="30"/>
      <c r="Z365" s="30"/>
      <c r="AA365" s="30"/>
      <c r="AB365" s="30"/>
      <c r="AC365" s="2"/>
      <c r="AD365" s="3" t="s">
        <v>237</v>
      </c>
      <c r="AE365" s="3" t="s">
        <v>37</v>
      </c>
      <c r="AF365" s="30" t="s">
        <v>37</v>
      </c>
      <c r="AG365" s="30"/>
      <c r="AH365" s="30" t="s">
        <v>85</v>
      </c>
      <c r="AI365" s="30"/>
      <c r="AJ365" s="30"/>
      <c r="AK365" s="32">
        <v>43637</v>
      </c>
      <c r="AL365" s="30">
        <v>6</v>
      </c>
    </row>
    <row r="366" spans="1:38" hidden="1" x14ac:dyDescent="0.25">
      <c r="A366" s="21" t="s">
        <v>558</v>
      </c>
      <c r="B366" s="27" t="s">
        <v>238</v>
      </c>
      <c r="C366" s="3">
        <v>2020</v>
      </c>
      <c r="D366" s="3">
        <v>1</v>
      </c>
      <c r="E366" s="3" t="s">
        <v>37</v>
      </c>
      <c r="F366" s="3" t="s">
        <v>37</v>
      </c>
      <c r="G366" s="30">
        <f t="shared" si="61"/>
        <v>0</v>
      </c>
      <c r="H366" s="27">
        <v>0</v>
      </c>
      <c r="I366" s="21">
        <v>0</v>
      </c>
      <c r="J366" s="24" t="s">
        <v>37</v>
      </c>
      <c r="K366" s="30">
        <v>0.25</v>
      </c>
      <c r="L366" s="27">
        <f t="shared" si="62"/>
        <v>0</v>
      </c>
      <c r="M366" s="27">
        <v>3.25</v>
      </c>
      <c r="N366" s="27"/>
      <c r="O366" s="27">
        <v>30</v>
      </c>
      <c r="P366" s="27">
        <v>10</v>
      </c>
      <c r="Q366" s="27"/>
      <c r="R366" s="27"/>
      <c r="S366" s="27"/>
      <c r="T366" s="30" t="s">
        <v>239</v>
      </c>
      <c r="U366" s="30"/>
      <c r="V366" s="30"/>
      <c r="W366" s="30"/>
      <c r="X366" s="30"/>
      <c r="Y366" s="30"/>
      <c r="Z366" s="30"/>
      <c r="AA366" s="30"/>
      <c r="AB366" s="30"/>
      <c r="AC366" s="2"/>
      <c r="AD366" s="3" t="s">
        <v>237</v>
      </c>
      <c r="AE366" s="3" t="s">
        <v>37</v>
      </c>
      <c r="AF366" s="30" t="s">
        <v>37</v>
      </c>
      <c r="AG366" s="30"/>
      <c r="AH366" s="30" t="s">
        <v>85</v>
      </c>
      <c r="AI366" s="30"/>
      <c r="AJ366" s="30"/>
      <c r="AK366" s="32">
        <v>43990</v>
      </c>
      <c r="AL366" s="30"/>
    </row>
    <row r="367" spans="1:38" hidden="1" x14ac:dyDescent="0.25">
      <c r="A367" s="27" t="s">
        <v>558</v>
      </c>
      <c r="B367" s="27" t="s">
        <v>238</v>
      </c>
      <c r="C367" s="34">
        <v>2021</v>
      </c>
      <c r="D367" s="3">
        <v>1</v>
      </c>
      <c r="E367" s="30" t="s">
        <v>37</v>
      </c>
      <c r="F367" s="30" t="s">
        <v>37</v>
      </c>
      <c r="G367" s="30">
        <f t="shared" si="61"/>
        <v>7</v>
      </c>
      <c r="H367" s="27">
        <v>0</v>
      </c>
      <c r="I367" s="27">
        <v>7</v>
      </c>
      <c r="J367" s="24">
        <f t="shared" ref="J367:J374" si="63">H367/G367</f>
        <v>0</v>
      </c>
      <c r="K367" s="30">
        <v>0.25</v>
      </c>
      <c r="L367" s="27">
        <f t="shared" si="62"/>
        <v>7</v>
      </c>
      <c r="M367" s="27">
        <f>AVERAGE(W367:Z367)</f>
        <v>9.25</v>
      </c>
      <c r="N367" s="27"/>
      <c r="O367" s="27">
        <v>85</v>
      </c>
      <c r="P367" s="27">
        <v>2</v>
      </c>
      <c r="Q367" s="27">
        <v>5</v>
      </c>
      <c r="R367" s="27"/>
      <c r="S367" s="27"/>
      <c r="T367" s="30"/>
      <c r="U367" s="30"/>
      <c r="V367" s="30"/>
      <c r="W367" s="30">
        <v>9</v>
      </c>
      <c r="X367" s="30">
        <v>11</v>
      </c>
      <c r="Y367" s="30">
        <v>8</v>
      </c>
      <c r="Z367" s="30">
        <v>9</v>
      </c>
      <c r="AA367" s="30"/>
      <c r="AB367" s="30"/>
      <c r="AC367" s="2"/>
      <c r="AD367" s="30" t="s">
        <v>237</v>
      </c>
      <c r="AE367" s="30" t="s">
        <v>37</v>
      </c>
      <c r="AF367" s="30" t="s">
        <v>37</v>
      </c>
      <c r="AG367" s="30" t="s">
        <v>37</v>
      </c>
      <c r="AH367" s="30" t="s">
        <v>85</v>
      </c>
      <c r="AI367" s="30"/>
      <c r="AJ367" s="30"/>
      <c r="AK367" s="32">
        <v>44379</v>
      </c>
      <c r="AL367" s="30"/>
    </row>
    <row r="368" spans="1:38" hidden="1" x14ac:dyDescent="0.25">
      <c r="A368" s="47" t="s">
        <v>558</v>
      </c>
      <c r="B368" s="47" t="s">
        <v>238</v>
      </c>
      <c r="C368" s="15">
        <v>2022</v>
      </c>
      <c r="D368" s="15">
        <v>1</v>
      </c>
      <c r="E368" s="30" t="s">
        <v>37</v>
      </c>
      <c r="F368" s="30" t="s">
        <v>37</v>
      </c>
      <c r="G368" s="14">
        <f t="shared" si="61"/>
        <v>4</v>
      </c>
      <c r="H368" s="19">
        <v>0</v>
      </c>
      <c r="I368" s="19">
        <v>4</v>
      </c>
      <c r="J368" s="24">
        <f t="shared" si="63"/>
        <v>0</v>
      </c>
      <c r="K368" s="14">
        <v>0.25</v>
      </c>
      <c r="L368" s="19">
        <f t="shared" si="62"/>
        <v>4</v>
      </c>
      <c r="M368" s="19">
        <f>AVERAGE(W368:Z368)</f>
        <v>6.75</v>
      </c>
      <c r="O368" s="19">
        <v>90</v>
      </c>
      <c r="P368" s="19">
        <v>0</v>
      </c>
      <c r="Q368" s="19">
        <v>2</v>
      </c>
      <c r="R368" s="19">
        <v>0</v>
      </c>
      <c r="S368" s="47" t="s">
        <v>37</v>
      </c>
      <c r="T368" s="48" t="s">
        <v>503</v>
      </c>
      <c r="U368" s="14">
        <v>5</v>
      </c>
      <c r="W368" s="14">
        <v>6</v>
      </c>
      <c r="X368" s="14">
        <v>5</v>
      </c>
      <c r="Y368" s="14">
        <v>3</v>
      </c>
      <c r="Z368" s="14">
        <v>13</v>
      </c>
      <c r="AF368" s="48" t="s">
        <v>37</v>
      </c>
      <c r="AK368" s="42">
        <v>44746</v>
      </c>
    </row>
    <row r="369" spans="1:38" hidden="1" x14ac:dyDescent="0.25">
      <c r="A369" s="47" t="s">
        <v>558</v>
      </c>
      <c r="B369" s="47" t="s">
        <v>238</v>
      </c>
      <c r="C369" s="15">
        <v>2023</v>
      </c>
      <c r="D369" s="15">
        <v>1</v>
      </c>
      <c r="E369" s="30" t="s">
        <v>37</v>
      </c>
      <c r="F369" s="30" t="s">
        <v>37</v>
      </c>
      <c r="G369" s="14">
        <f t="shared" si="61"/>
        <v>5</v>
      </c>
      <c r="H369" s="19">
        <v>0</v>
      </c>
      <c r="I369" s="19">
        <v>5</v>
      </c>
      <c r="J369" s="24">
        <f t="shared" si="63"/>
        <v>0</v>
      </c>
      <c r="K369" s="14">
        <v>0.25</v>
      </c>
      <c r="L369" s="19">
        <f t="shared" si="62"/>
        <v>5</v>
      </c>
      <c r="M369" s="19">
        <f>AVERAGE(W369:Z369)</f>
        <v>5</v>
      </c>
      <c r="N369" s="19">
        <f>AVERAGE(AA369:AB369)</f>
        <v>7</v>
      </c>
      <c r="O369" s="19">
        <v>60</v>
      </c>
      <c r="P369" s="19">
        <v>2</v>
      </c>
      <c r="Q369" s="19">
        <v>15</v>
      </c>
      <c r="R369" s="19">
        <v>0</v>
      </c>
      <c r="S369" s="59" t="s">
        <v>37</v>
      </c>
      <c r="T369" s="57" t="s">
        <v>506</v>
      </c>
      <c r="U369" s="14">
        <v>5</v>
      </c>
      <c r="W369" s="14">
        <v>5</v>
      </c>
      <c r="X369" s="14">
        <v>6</v>
      </c>
      <c r="Y369" s="14">
        <v>4</v>
      </c>
      <c r="Z369" s="14">
        <v>5</v>
      </c>
      <c r="AA369" s="14">
        <v>9</v>
      </c>
      <c r="AB369" s="14">
        <v>5</v>
      </c>
      <c r="AF369" s="48" t="s">
        <v>37</v>
      </c>
      <c r="AH369" s="57" t="s">
        <v>650</v>
      </c>
      <c r="AK369" s="42">
        <v>44746</v>
      </c>
    </row>
    <row r="370" spans="1:38" hidden="1" x14ac:dyDescent="0.25">
      <c r="A370" s="47" t="s">
        <v>558</v>
      </c>
      <c r="B370" s="47" t="s">
        <v>238</v>
      </c>
      <c r="C370" s="15">
        <v>2024</v>
      </c>
      <c r="D370" s="15">
        <v>1</v>
      </c>
      <c r="E370" s="30" t="s">
        <v>37</v>
      </c>
      <c r="F370" s="30" t="s">
        <v>37</v>
      </c>
      <c r="G370" s="14">
        <f t="shared" si="61"/>
        <v>19</v>
      </c>
      <c r="H370" s="19">
        <v>6</v>
      </c>
      <c r="I370" s="19">
        <v>13</v>
      </c>
      <c r="J370" s="24">
        <f t="shared" si="63"/>
        <v>0.31578947368421051</v>
      </c>
      <c r="K370" s="14">
        <v>0.25</v>
      </c>
      <c r="L370" s="19">
        <f t="shared" si="62"/>
        <v>19</v>
      </c>
      <c r="M370" s="19">
        <f>AVERAGE(X370:Z370)</f>
        <v>4.666666666666667</v>
      </c>
      <c r="O370" s="19">
        <v>82</v>
      </c>
      <c r="P370" s="19">
        <v>4</v>
      </c>
      <c r="Q370" s="19">
        <v>3</v>
      </c>
      <c r="W370" s="14">
        <v>5</v>
      </c>
      <c r="X370" s="14">
        <v>4</v>
      </c>
      <c r="Y370" s="14">
        <v>5</v>
      </c>
      <c r="Z370" s="14">
        <v>5</v>
      </c>
    </row>
    <row r="371" spans="1:38" hidden="1" x14ac:dyDescent="0.25">
      <c r="A371" s="21" t="s">
        <v>558</v>
      </c>
      <c r="B371" s="27" t="s">
        <v>241</v>
      </c>
      <c r="C371" s="3">
        <v>2014</v>
      </c>
      <c r="D371" s="3">
        <v>1</v>
      </c>
      <c r="E371" s="3" t="s">
        <v>37</v>
      </c>
      <c r="F371" s="3" t="s">
        <v>37</v>
      </c>
      <c r="G371" s="2">
        <v>21</v>
      </c>
      <c r="H371" s="21">
        <v>2</v>
      </c>
      <c r="I371" s="21">
        <f>G371-H371</f>
        <v>19</v>
      </c>
      <c r="J371" s="24">
        <f t="shared" si="63"/>
        <v>9.5238095238095233E-2</v>
      </c>
      <c r="K371" s="2">
        <v>0.25</v>
      </c>
      <c r="L371" s="27">
        <f t="shared" si="62"/>
        <v>21</v>
      </c>
      <c r="M371" s="27">
        <v>3</v>
      </c>
      <c r="N371" s="27"/>
      <c r="O371" s="27">
        <v>96</v>
      </c>
      <c r="P371" s="27"/>
      <c r="Q371" s="27"/>
      <c r="R371" s="27"/>
      <c r="S371" s="27"/>
      <c r="T371" s="30"/>
      <c r="U371" s="30"/>
      <c r="V371" s="30"/>
      <c r="W371" s="30"/>
      <c r="X371" s="30"/>
      <c r="Y371" s="30"/>
      <c r="Z371" s="30"/>
      <c r="AA371" s="30"/>
      <c r="AB371" s="30"/>
      <c r="AC371" s="2"/>
      <c r="AD371" s="3" t="s">
        <v>240</v>
      </c>
      <c r="AE371" s="3">
        <v>0.61904761904761907</v>
      </c>
      <c r="AF371" s="2">
        <v>342.76190476190476</v>
      </c>
      <c r="AG371" s="30">
        <v>14.7</v>
      </c>
      <c r="AH371" s="30"/>
      <c r="AI371" s="30"/>
      <c r="AJ371" s="30"/>
      <c r="AK371" s="30"/>
      <c r="AL371" s="30"/>
    </row>
    <row r="372" spans="1:38" hidden="1" x14ac:dyDescent="0.25">
      <c r="A372" s="21" t="s">
        <v>558</v>
      </c>
      <c r="B372" s="27" t="s">
        <v>241</v>
      </c>
      <c r="C372" s="3">
        <v>2015</v>
      </c>
      <c r="D372" s="3">
        <v>1</v>
      </c>
      <c r="E372" s="3" t="s">
        <v>37</v>
      </c>
      <c r="F372" s="3" t="s">
        <v>37</v>
      </c>
      <c r="G372" s="2">
        <v>13</v>
      </c>
      <c r="H372" s="21">
        <v>0</v>
      </c>
      <c r="I372" s="21">
        <f>G372-H372</f>
        <v>13</v>
      </c>
      <c r="J372" s="24">
        <f t="shared" si="63"/>
        <v>0</v>
      </c>
      <c r="K372" s="2">
        <v>0.25</v>
      </c>
      <c r="L372" s="27">
        <f t="shared" si="62"/>
        <v>13</v>
      </c>
      <c r="M372" s="27" t="s">
        <v>37</v>
      </c>
      <c r="N372" s="27"/>
      <c r="O372" s="27" t="s">
        <v>37</v>
      </c>
      <c r="P372" s="27"/>
      <c r="Q372" s="27"/>
      <c r="R372" s="27"/>
      <c r="S372" s="27"/>
      <c r="T372" s="30"/>
      <c r="U372" s="30"/>
      <c r="V372" s="30"/>
      <c r="W372" s="30"/>
      <c r="X372" s="30"/>
      <c r="Y372" s="30"/>
      <c r="Z372" s="30"/>
      <c r="AA372" s="30"/>
      <c r="AB372" s="30"/>
      <c r="AC372" s="2"/>
      <c r="AD372" s="3" t="s">
        <v>240</v>
      </c>
      <c r="AE372" s="3">
        <v>0.92307692307692313</v>
      </c>
      <c r="AF372" s="2">
        <v>210.30769230769232</v>
      </c>
      <c r="AG372" s="30" t="s">
        <v>37</v>
      </c>
      <c r="AH372" s="30"/>
      <c r="AI372" s="30"/>
      <c r="AJ372" s="30"/>
      <c r="AK372" s="30"/>
      <c r="AL372" s="30"/>
    </row>
    <row r="373" spans="1:38" hidden="1" x14ac:dyDescent="0.25">
      <c r="A373" s="21" t="s">
        <v>558</v>
      </c>
      <c r="B373" s="27" t="s">
        <v>241</v>
      </c>
      <c r="C373" s="3">
        <v>2016</v>
      </c>
      <c r="D373" s="3">
        <v>1</v>
      </c>
      <c r="E373" s="3" t="s">
        <v>37</v>
      </c>
      <c r="F373" s="3" t="s">
        <v>37</v>
      </c>
      <c r="G373" s="25">
        <v>12</v>
      </c>
      <c r="H373" s="23">
        <v>1</v>
      </c>
      <c r="I373" s="21">
        <f>G373-H373</f>
        <v>11</v>
      </c>
      <c r="J373" s="24">
        <f t="shared" si="63"/>
        <v>8.3333333333333329E-2</v>
      </c>
      <c r="K373" s="2">
        <v>0.25</v>
      </c>
      <c r="L373" s="27">
        <f t="shared" si="62"/>
        <v>12</v>
      </c>
      <c r="M373" s="27">
        <v>1.75</v>
      </c>
      <c r="N373" s="27"/>
      <c r="O373" s="27">
        <v>70</v>
      </c>
      <c r="P373" s="27"/>
      <c r="Q373" s="27"/>
      <c r="R373" s="27"/>
      <c r="S373" s="27"/>
      <c r="T373" s="30"/>
      <c r="U373" s="30"/>
      <c r="V373" s="30"/>
      <c r="W373" s="30"/>
      <c r="X373" s="30"/>
      <c r="Y373" s="30"/>
      <c r="Z373" s="30"/>
      <c r="AA373" s="30"/>
      <c r="AB373" s="30"/>
      <c r="AC373" s="2"/>
      <c r="AD373" s="3" t="s">
        <v>240</v>
      </c>
      <c r="AE373" s="3">
        <v>0.66666666666666663</v>
      </c>
      <c r="AF373" s="2">
        <v>282.41669999999999</v>
      </c>
      <c r="AG373" s="30">
        <v>28.45</v>
      </c>
      <c r="AH373" s="30"/>
      <c r="AI373" s="30"/>
      <c r="AJ373" s="30"/>
      <c r="AK373" s="30"/>
      <c r="AL373" s="30"/>
    </row>
    <row r="374" spans="1:38" hidden="1" x14ac:dyDescent="0.25">
      <c r="A374" s="21" t="s">
        <v>558</v>
      </c>
      <c r="B374" s="27" t="s">
        <v>241</v>
      </c>
      <c r="C374" s="3">
        <v>2017</v>
      </c>
      <c r="D374" s="3">
        <v>1</v>
      </c>
      <c r="E374" s="3" t="s">
        <v>37</v>
      </c>
      <c r="F374" s="3" t="s">
        <v>37</v>
      </c>
      <c r="G374" s="25">
        <v>8</v>
      </c>
      <c r="H374" s="23">
        <v>1</v>
      </c>
      <c r="I374" s="21">
        <f>G374-H374</f>
        <v>7</v>
      </c>
      <c r="J374" s="24">
        <f t="shared" si="63"/>
        <v>0.125</v>
      </c>
      <c r="K374" s="2">
        <v>0.25</v>
      </c>
      <c r="L374" s="27">
        <f t="shared" si="62"/>
        <v>8</v>
      </c>
      <c r="M374" s="27">
        <v>2.625</v>
      </c>
      <c r="N374" s="27"/>
      <c r="O374" s="27">
        <v>80</v>
      </c>
      <c r="P374" s="27"/>
      <c r="Q374" s="27"/>
      <c r="R374" s="27"/>
      <c r="S374" s="27"/>
      <c r="T374" s="30"/>
      <c r="U374" s="30"/>
      <c r="V374" s="30"/>
      <c r="W374" s="30"/>
      <c r="X374" s="30"/>
      <c r="Y374" s="30"/>
      <c r="Z374" s="30"/>
      <c r="AA374" s="30"/>
      <c r="AB374" s="30"/>
      <c r="AC374" s="2"/>
      <c r="AD374" s="3" t="s">
        <v>240</v>
      </c>
      <c r="AE374" s="3" t="s">
        <v>37</v>
      </c>
      <c r="AF374" s="16">
        <v>261.5</v>
      </c>
      <c r="AG374" s="30">
        <v>8.75</v>
      </c>
      <c r="AH374" s="30"/>
      <c r="AI374" s="30"/>
      <c r="AJ374" s="30"/>
      <c r="AK374" s="30"/>
      <c r="AL374" s="30"/>
    </row>
    <row r="375" spans="1:38" hidden="1" x14ac:dyDescent="0.25">
      <c r="A375" s="21" t="s">
        <v>558</v>
      </c>
      <c r="B375" s="27" t="s">
        <v>241</v>
      </c>
      <c r="C375" s="3">
        <v>2018</v>
      </c>
      <c r="D375" s="3">
        <v>1</v>
      </c>
      <c r="E375" s="3" t="s">
        <v>37</v>
      </c>
      <c r="F375" s="3" t="s">
        <v>37</v>
      </c>
      <c r="G375" s="30" t="s">
        <v>37</v>
      </c>
      <c r="H375" s="27" t="s">
        <v>37</v>
      </c>
      <c r="I375" s="27" t="s">
        <v>37</v>
      </c>
      <c r="J375" s="27" t="s">
        <v>37</v>
      </c>
      <c r="K375" s="2" t="s">
        <v>37</v>
      </c>
      <c r="L375" s="24" t="s">
        <v>37</v>
      </c>
      <c r="M375" s="27" t="s">
        <v>37</v>
      </c>
      <c r="N375" s="27"/>
      <c r="O375" s="27" t="s">
        <v>37</v>
      </c>
      <c r="P375" s="27"/>
      <c r="Q375" s="27"/>
      <c r="R375" s="27"/>
      <c r="S375" s="27"/>
      <c r="T375" s="30"/>
      <c r="U375" s="30"/>
      <c r="V375" s="30"/>
      <c r="W375" s="30"/>
      <c r="X375" s="30"/>
      <c r="Y375" s="30"/>
      <c r="Z375" s="30"/>
      <c r="AA375" s="30"/>
      <c r="AB375" s="30"/>
      <c r="AC375" s="2"/>
      <c r="AD375" s="3" t="s">
        <v>240</v>
      </c>
      <c r="AE375" s="3" t="s">
        <v>37</v>
      </c>
      <c r="AF375" s="30" t="s">
        <v>37</v>
      </c>
      <c r="AG375" s="30" t="s">
        <v>37</v>
      </c>
      <c r="AH375" s="30"/>
      <c r="AI375" s="30"/>
      <c r="AJ375" s="30"/>
      <c r="AK375" s="30"/>
      <c r="AL375" s="30"/>
    </row>
    <row r="376" spans="1:38" hidden="1" x14ac:dyDescent="0.25">
      <c r="A376" s="21" t="s">
        <v>558</v>
      </c>
      <c r="B376" s="27" t="s">
        <v>241</v>
      </c>
      <c r="C376" s="3">
        <v>2019</v>
      </c>
      <c r="D376" s="3">
        <v>1</v>
      </c>
      <c r="E376" s="3" t="s">
        <v>37</v>
      </c>
      <c r="F376" s="3" t="s">
        <v>37</v>
      </c>
      <c r="G376" s="30">
        <f t="shared" ref="G376:G401" si="64">SUM(H376:I376)</f>
        <v>0</v>
      </c>
      <c r="H376" s="27">
        <v>0</v>
      </c>
      <c r="I376" s="21">
        <v>0</v>
      </c>
      <c r="J376" s="24" t="s">
        <v>37</v>
      </c>
      <c r="K376" s="30">
        <v>0.25</v>
      </c>
      <c r="L376" s="27">
        <f t="shared" ref="L376:L403" si="65">G376/(K376/0.25)</f>
        <v>0</v>
      </c>
      <c r="M376" s="27">
        <v>7</v>
      </c>
      <c r="N376" s="27"/>
      <c r="O376" s="27">
        <v>55</v>
      </c>
      <c r="P376" s="27">
        <v>55</v>
      </c>
      <c r="Q376" s="27"/>
      <c r="R376" s="27"/>
      <c r="S376" s="27"/>
      <c r="T376" s="30"/>
      <c r="U376" s="30"/>
      <c r="V376" s="30"/>
      <c r="W376" s="30"/>
      <c r="X376" s="30"/>
      <c r="Y376" s="30"/>
      <c r="Z376" s="30"/>
      <c r="AA376" s="30"/>
      <c r="AB376" s="30"/>
      <c r="AC376" s="2"/>
      <c r="AD376" s="3" t="s">
        <v>240</v>
      </c>
      <c r="AE376" s="3" t="s">
        <v>37</v>
      </c>
      <c r="AF376" s="30" t="s">
        <v>37</v>
      </c>
      <c r="AG376" s="30"/>
      <c r="AH376" s="30" t="s">
        <v>85</v>
      </c>
      <c r="AI376" s="30"/>
      <c r="AJ376" s="30"/>
      <c r="AK376" s="32">
        <v>43642</v>
      </c>
      <c r="AL376" s="30">
        <v>13</v>
      </c>
    </row>
    <row r="377" spans="1:38" hidden="1" x14ac:dyDescent="0.25">
      <c r="A377" s="21" t="s">
        <v>558</v>
      </c>
      <c r="B377" s="27" t="s">
        <v>241</v>
      </c>
      <c r="C377" s="3">
        <v>2020</v>
      </c>
      <c r="D377" s="3">
        <v>1</v>
      </c>
      <c r="E377" s="3" t="s">
        <v>37</v>
      </c>
      <c r="F377" s="3" t="s">
        <v>37</v>
      </c>
      <c r="G377" s="30">
        <f t="shared" si="64"/>
        <v>0</v>
      </c>
      <c r="H377" s="27">
        <v>0</v>
      </c>
      <c r="I377" s="21">
        <v>0</v>
      </c>
      <c r="J377" s="24" t="s">
        <v>37</v>
      </c>
      <c r="K377" s="30">
        <v>0.25</v>
      </c>
      <c r="L377" s="27">
        <f t="shared" si="65"/>
        <v>0</v>
      </c>
      <c r="M377" s="27">
        <v>5.5</v>
      </c>
      <c r="N377" s="27"/>
      <c r="O377" s="27">
        <v>95</v>
      </c>
      <c r="P377" s="27">
        <v>10</v>
      </c>
      <c r="Q377" s="27"/>
      <c r="R377" s="27"/>
      <c r="S377" s="27"/>
      <c r="T377" s="30" t="s">
        <v>239</v>
      </c>
      <c r="U377" s="30"/>
      <c r="V377" s="30"/>
      <c r="W377" s="30"/>
      <c r="X377" s="30"/>
      <c r="Y377" s="30"/>
      <c r="Z377" s="30"/>
      <c r="AA377" s="30"/>
      <c r="AB377" s="30"/>
      <c r="AC377" s="2"/>
      <c r="AD377" s="3" t="s">
        <v>240</v>
      </c>
      <c r="AE377" s="3" t="s">
        <v>37</v>
      </c>
      <c r="AF377" s="30" t="s">
        <v>37</v>
      </c>
      <c r="AG377" s="30"/>
      <c r="AH377" s="30" t="s">
        <v>85</v>
      </c>
      <c r="AI377" s="30"/>
      <c r="AJ377" s="30"/>
      <c r="AK377" s="32">
        <v>43990</v>
      </c>
      <c r="AL377" s="30"/>
    </row>
    <row r="378" spans="1:38" hidden="1" x14ac:dyDescent="0.25">
      <c r="A378" s="27" t="s">
        <v>558</v>
      </c>
      <c r="B378" s="27" t="s">
        <v>241</v>
      </c>
      <c r="C378" s="34">
        <v>2021</v>
      </c>
      <c r="D378" s="3">
        <v>1</v>
      </c>
      <c r="E378" s="30" t="s">
        <v>37</v>
      </c>
      <c r="F378" s="30" t="s">
        <v>37</v>
      </c>
      <c r="G378" s="30">
        <f t="shared" si="64"/>
        <v>0</v>
      </c>
      <c r="H378" s="27">
        <v>0</v>
      </c>
      <c r="I378" s="27">
        <v>0</v>
      </c>
      <c r="J378" s="24" t="s">
        <v>37</v>
      </c>
      <c r="K378" s="30">
        <v>0.25</v>
      </c>
      <c r="L378" s="27">
        <f t="shared" si="65"/>
        <v>0</v>
      </c>
      <c r="M378" s="27">
        <f>AVERAGE(W378:Z378)</f>
        <v>8</v>
      </c>
      <c r="N378" s="27"/>
      <c r="O378" s="27">
        <v>70</v>
      </c>
      <c r="P378" s="27">
        <v>15</v>
      </c>
      <c r="Q378" s="27">
        <v>15</v>
      </c>
      <c r="R378" s="27">
        <v>0</v>
      </c>
      <c r="S378" s="27"/>
      <c r="T378" s="30" t="s">
        <v>239</v>
      </c>
      <c r="U378" s="30">
        <v>2</v>
      </c>
      <c r="V378" s="30"/>
      <c r="W378" s="30">
        <v>7</v>
      </c>
      <c r="X378" s="30">
        <v>5</v>
      </c>
      <c r="Y378" s="30">
        <v>8</v>
      </c>
      <c r="Z378" s="30">
        <v>12</v>
      </c>
      <c r="AA378" s="30"/>
      <c r="AB378" s="30"/>
      <c r="AC378" s="2"/>
      <c r="AD378" s="30" t="s">
        <v>240</v>
      </c>
      <c r="AE378" s="30" t="s">
        <v>37</v>
      </c>
      <c r="AF378" s="30" t="s">
        <v>37</v>
      </c>
      <c r="AG378" s="30" t="s">
        <v>37</v>
      </c>
      <c r="AH378" s="30" t="s">
        <v>85</v>
      </c>
      <c r="AI378" s="30"/>
      <c r="AJ378" s="30"/>
      <c r="AK378" s="32">
        <v>44379</v>
      </c>
      <c r="AL378" s="30"/>
    </row>
    <row r="379" spans="1:38" hidden="1" x14ac:dyDescent="0.25">
      <c r="A379" s="47" t="s">
        <v>558</v>
      </c>
      <c r="B379" s="47" t="s">
        <v>241</v>
      </c>
      <c r="C379" s="15">
        <v>2022</v>
      </c>
      <c r="D379" s="15">
        <v>1</v>
      </c>
      <c r="E379" s="30" t="s">
        <v>37</v>
      </c>
      <c r="F379" s="30" t="s">
        <v>37</v>
      </c>
      <c r="G379" s="14">
        <f t="shared" si="64"/>
        <v>0</v>
      </c>
      <c r="H379" s="19">
        <v>0</v>
      </c>
      <c r="I379" s="19">
        <v>0</v>
      </c>
      <c r="J379" s="24" t="s">
        <v>37</v>
      </c>
      <c r="K379" s="14">
        <v>0.25</v>
      </c>
      <c r="L379" s="19">
        <f t="shared" si="65"/>
        <v>0</v>
      </c>
      <c r="M379" s="19">
        <f>AVERAGE(W379:Z379)</f>
        <v>4.5</v>
      </c>
      <c r="O379" s="19">
        <v>90</v>
      </c>
      <c r="P379" s="19">
        <v>60</v>
      </c>
      <c r="Q379" s="19">
        <v>10</v>
      </c>
      <c r="R379" s="19">
        <v>0</v>
      </c>
      <c r="S379" s="47" t="s">
        <v>37</v>
      </c>
      <c r="T379" s="48" t="s">
        <v>239</v>
      </c>
      <c r="U379" s="14">
        <v>1</v>
      </c>
      <c r="W379" s="14">
        <v>5</v>
      </c>
      <c r="X379" s="14">
        <v>3</v>
      </c>
      <c r="Y379" s="14">
        <v>4</v>
      </c>
      <c r="Z379" s="14">
        <v>6</v>
      </c>
      <c r="AF379" s="48" t="s">
        <v>37</v>
      </c>
      <c r="AH379" s="48" t="s">
        <v>534</v>
      </c>
      <c r="AK379" s="42">
        <v>44746</v>
      </c>
    </row>
    <row r="380" spans="1:38" hidden="1" x14ac:dyDescent="0.25">
      <c r="A380" s="47" t="s">
        <v>558</v>
      </c>
      <c r="B380" s="47" t="s">
        <v>241</v>
      </c>
      <c r="C380" s="15">
        <v>2023</v>
      </c>
      <c r="D380" s="15">
        <v>1</v>
      </c>
      <c r="E380" s="30" t="s">
        <v>37</v>
      </c>
      <c r="F380" s="30" t="s">
        <v>37</v>
      </c>
      <c r="G380" s="14">
        <f t="shared" si="64"/>
        <v>0</v>
      </c>
      <c r="H380" s="19">
        <v>0</v>
      </c>
      <c r="I380" s="19">
        <v>0</v>
      </c>
      <c r="J380" s="24" t="s">
        <v>37</v>
      </c>
      <c r="K380" s="14">
        <v>0.25</v>
      </c>
      <c r="L380" s="19">
        <f t="shared" si="65"/>
        <v>0</v>
      </c>
      <c r="M380" s="19">
        <f>AVERAGE(W380:Z380)</f>
        <v>8.25</v>
      </c>
      <c r="N380" s="19">
        <f>AVERAGE(AA380:AB380)</f>
        <v>13</v>
      </c>
      <c r="O380" s="19">
        <v>60</v>
      </c>
      <c r="P380" s="19">
        <v>50</v>
      </c>
      <c r="Q380" s="19">
        <v>18</v>
      </c>
      <c r="R380" s="19">
        <v>0</v>
      </c>
      <c r="S380" s="59" t="s">
        <v>37</v>
      </c>
      <c r="T380" s="57" t="s">
        <v>653</v>
      </c>
      <c r="U380" s="57" t="s">
        <v>615</v>
      </c>
      <c r="W380" s="14">
        <v>11</v>
      </c>
      <c r="X380" s="14">
        <v>6</v>
      </c>
      <c r="Y380" s="14">
        <v>9</v>
      </c>
      <c r="Z380" s="14">
        <v>7</v>
      </c>
      <c r="AA380" s="14">
        <v>15</v>
      </c>
      <c r="AB380" s="14">
        <v>11</v>
      </c>
      <c r="AF380" s="48" t="s">
        <v>37</v>
      </c>
      <c r="AH380" s="57" t="s">
        <v>650</v>
      </c>
      <c r="AK380" s="42">
        <v>44746</v>
      </c>
    </row>
    <row r="381" spans="1:38" hidden="1" x14ac:dyDescent="0.25">
      <c r="A381" s="47" t="s">
        <v>558</v>
      </c>
      <c r="B381" s="47" t="s">
        <v>241</v>
      </c>
      <c r="C381" s="15">
        <v>2024</v>
      </c>
      <c r="D381" s="15">
        <v>1</v>
      </c>
      <c r="E381" s="30" t="s">
        <v>37</v>
      </c>
      <c r="F381" s="30" t="s">
        <v>37</v>
      </c>
      <c r="G381" s="14">
        <f t="shared" si="64"/>
        <v>0</v>
      </c>
      <c r="H381" s="19">
        <v>0</v>
      </c>
      <c r="I381" s="19">
        <v>0</v>
      </c>
      <c r="J381" s="24" t="s">
        <v>37</v>
      </c>
      <c r="K381" s="14">
        <v>0.25</v>
      </c>
      <c r="L381" s="19">
        <f t="shared" si="65"/>
        <v>0</v>
      </c>
      <c r="M381" s="19">
        <f>AVERAGE(X381:Z381)</f>
        <v>4.333333333333333</v>
      </c>
      <c r="O381" s="19">
        <v>95</v>
      </c>
      <c r="P381" s="19">
        <v>35</v>
      </c>
      <c r="Q381" s="19">
        <v>1</v>
      </c>
      <c r="W381" s="14">
        <v>4</v>
      </c>
      <c r="X381" s="14">
        <v>3</v>
      </c>
      <c r="Y381" s="14">
        <v>5</v>
      </c>
      <c r="Z381" s="14">
        <v>5</v>
      </c>
    </row>
    <row r="382" spans="1:38" x14ac:dyDescent="0.25">
      <c r="A382" s="27" t="s">
        <v>558</v>
      </c>
      <c r="B382" s="27" t="s">
        <v>265</v>
      </c>
      <c r="C382" s="34">
        <v>2021</v>
      </c>
      <c r="D382" s="34">
        <v>0</v>
      </c>
      <c r="E382" s="30" t="s">
        <v>124</v>
      </c>
      <c r="F382" s="30">
        <v>5</v>
      </c>
      <c r="G382" s="30">
        <f t="shared" si="64"/>
        <v>0</v>
      </c>
      <c r="H382" s="27">
        <v>0</v>
      </c>
      <c r="I382" s="27">
        <v>0</v>
      </c>
      <c r="J382" s="24" t="s">
        <v>37</v>
      </c>
      <c r="K382" s="30">
        <v>0.25</v>
      </c>
      <c r="L382" s="27">
        <f t="shared" si="65"/>
        <v>0</v>
      </c>
      <c r="M382" s="27">
        <f>AVERAGE(W382:Z382)</f>
        <v>6.75</v>
      </c>
      <c r="N382" s="27"/>
      <c r="O382" s="27">
        <v>55</v>
      </c>
      <c r="P382" s="27">
        <v>25</v>
      </c>
      <c r="Q382" s="27">
        <v>10</v>
      </c>
      <c r="R382" s="27">
        <v>0</v>
      </c>
      <c r="S382" s="27"/>
      <c r="T382" s="30" t="s">
        <v>239</v>
      </c>
      <c r="U382" s="30">
        <v>1</v>
      </c>
      <c r="V382" s="30"/>
      <c r="W382" s="30">
        <v>11</v>
      </c>
      <c r="X382" s="30">
        <v>0</v>
      </c>
      <c r="Y382" s="30">
        <v>7</v>
      </c>
      <c r="Z382" s="30">
        <v>9</v>
      </c>
      <c r="AA382" s="30"/>
      <c r="AB382" s="30"/>
      <c r="AD382" s="30"/>
      <c r="AE382" s="30" t="s">
        <v>37</v>
      </c>
      <c r="AF382" s="30" t="s">
        <v>37</v>
      </c>
      <c r="AG382" s="30" t="s">
        <v>37</v>
      </c>
      <c r="AH382" s="30" t="s">
        <v>85</v>
      </c>
      <c r="AI382" s="30"/>
      <c r="AJ382" s="30"/>
      <c r="AK382" s="32">
        <v>44379</v>
      </c>
      <c r="AL382" s="30"/>
    </row>
    <row r="383" spans="1:38" x14ac:dyDescent="0.25">
      <c r="A383" s="47" t="s">
        <v>558</v>
      </c>
      <c r="B383" s="47" t="s">
        <v>265</v>
      </c>
      <c r="C383" s="15">
        <v>2022</v>
      </c>
      <c r="D383" s="15">
        <v>0</v>
      </c>
      <c r="E383" s="30" t="s">
        <v>124</v>
      </c>
      <c r="F383" s="30">
        <v>5</v>
      </c>
      <c r="G383" s="14">
        <f t="shared" si="64"/>
        <v>0</v>
      </c>
      <c r="H383" s="19">
        <v>0</v>
      </c>
      <c r="I383" s="19">
        <v>0</v>
      </c>
      <c r="J383" s="24" t="s">
        <v>37</v>
      </c>
      <c r="K383" s="14">
        <v>0.25</v>
      </c>
      <c r="L383" s="19">
        <f t="shared" si="65"/>
        <v>0</v>
      </c>
      <c r="M383" s="19">
        <f>AVERAGE(W383:Z383)</f>
        <v>7.75</v>
      </c>
      <c r="O383" s="19">
        <v>80</v>
      </c>
      <c r="P383" s="19">
        <v>12</v>
      </c>
      <c r="Q383" s="19">
        <v>14</v>
      </c>
      <c r="R383" s="19">
        <v>0</v>
      </c>
      <c r="S383" s="47" t="s">
        <v>37</v>
      </c>
      <c r="T383" s="48" t="s">
        <v>239</v>
      </c>
      <c r="U383" s="14">
        <v>0.1</v>
      </c>
      <c r="W383" s="14">
        <v>4</v>
      </c>
      <c r="X383" s="14">
        <v>12</v>
      </c>
      <c r="Y383" s="14">
        <v>3</v>
      </c>
      <c r="Z383" s="14">
        <v>12</v>
      </c>
      <c r="AF383" s="48" t="s">
        <v>37</v>
      </c>
      <c r="AK383" s="42">
        <v>44746</v>
      </c>
    </row>
    <row r="384" spans="1:38" x14ac:dyDescent="0.25">
      <c r="A384" s="47" t="s">
        <v>558</v>
      </c>
      <c r="B384" s="47" t="s">
        <v>265</v>
      </c>
      <c r="C384" s="15">
        <v>2023</v>
      </c>
      <c r="D384" s="15">
        <v>0</v>
      </c>
      <c r="E384" s="30" t="s">
        <v>124</v>
      </c>
      <c r="F384" s="30">
        <v>5</v>
      </c>
      <c r="G384" s="14">
        <f t="shared" si="64"/>
        <v>0</v>
      </c>
      <c r="H384" s="19">
        <v>0</v>
      </c>
      <c r="I384" s="19">
        <v>0</v>
      </c>
      <c r="J384" s="24" t="s">
        <v>37</v>
      </c>
      <c r="K384" s="14">
        <v>0.25</v>
      </c>
      <c r="L384" s="19">
        <f t="shared" si="65"/>
        <v>0</v>
      </c>
      <c r="M384" s="19">
        <f>AVERAGE(W384:Z384)</f>
        <v>3.75</v>
      </c>
      <c r="N384" s="19">
        <f>AVERAGE(AA384:AB384)</f>
        <v>7.5</v>
      </c>
      <c r="O384" s="19">
        <v>30</v>
      </c>
      <c r="P384" s="19">
        <v>20</v>
      </c>
      <c r="Q384" s="19">
        <v>60</v>
      </c>
      <c r="R384" s="19">
        <v>0</v>
      </c>
      <c r="S384" s="59" t="s">
        <v>37</v>
      </c>
      <c r="T384" s="57" t="s">
        <v>653</v>
      </c>
      <c r="U384" s="57" t="s">
        <v>657</v>
      </c>
      <c r="W384" s="14">
        <v>4</v>
      </c>
      <c r="X384" s="14">
        <v>5</v>
      </c>
      <c r="Y384" s="14">
        <v>6</v>
      </c>
      <c r="Z384" s="14">
        <v>0</v>
      </c>
      <c r="AA384" s="14">
        <v>7</v>
      </c>
      <c r="AB384" s="14">
        <v>8</v>
      </c>
      <c r="AF384" s="48" t="s">
        <v>37</v>
      </c>
      <c r="AH384" s="57" t="s">
        <v>650</v>
      </c>
      <c r="AK384" s="42">
        <v>44746</v>
      </c>
    </row>
    <row r="385" spans="1:38" x14ac:dyDescent="0.25">
      <c r="A385" s="47" t="s">
        <v>558</v>
      </c>
      <c r="B385" s="47" t="s">
        <v>265</v>
      </c>
      <c r="C385" s="15">
        <v>2024</v>
      </c>
      <c r="D385" s="15">
        <v>0</v>
      </c>
      <c r="E385" s="30" t="s">
        <v>124</v>
      </c>
      <c r="F385" s="30">
        <v>5</v>
      </c>
      <c r="G385" s="14">
        <f t="shared" si="64"/>
        <v>0</v>
      </c>
      <c r="H385" s="19">
        <v>0</v>
      </c>
      <c r="I385" s="19">
        <v>0</v>
      </c>
      <c r="J385" s="24" t="s">
        <v>37</v>
      </c>
      <c r="K385" s="14">
        <v>0.25</v>
      </c>
      <c r="L385" s="19">
        <f t="shared" si="65"/>
        <v>0</v>
      </c>
      <c r="M385" s="19">
        <f>AVERAGE(X385:Z385)</f>
        <v>8</v>
      </c>
      <c r="O385" s="19">
        <v>55</v>
      </c>
      <c r="P385" s="19">
        <v>40</v>
      </c>
      <c r="Q385" s="19">
        <v>10</v>
      </c>
      <c r="W385" s="14">
        <v>0</v>
      </c>
      <c r="X385" s="14">
        <v>12</v>
      </c>
      <c r="Y385" s="14">
        <v>5</v>
      </c>
      <c r="Z385" s="14">
        <v>7</v>
      </c>
    </row>
    <row r="386" spans="1:38" x14ac:dyDescent="0.25">
      <c r="A386" s="27" t="s">
        <v>558</v>
      </c>
      <c r="B386" s="27" t="s">
        <v>266</v>
      </c>
      <c r="C386" s="34">
        <v>2021</v>
      </c>
      <c r="D386" s="34">
        <v>0</v>
      </c>
      <c r="E386" s="30" t="s">
        <v>124</v>
      </c>
      <c r="F386" s="30">
        <v>15</v>
      </c>
      <c r="G386" s="30">
        <f t="shared" si="64"/>
        <v>0</v>
      </c>
      <c r="H386" s="27">
        <v>0</v>
      </c>
      <c r="I386" s="27">
        <v>0</v>
      </c>
      <c r="J386" s="24" t="s">
        <v>37</v>
      </c>
      <c r="K386" s="30">
        <v>0.25</v>
      </c>
      <c r="L386" s="27">
        <f t="shared" si="65"/>
        <v>0</v>
      </c>
      <c r="M386" s="27" t="s">
        <v>37</v>
      </c>
      <c r="N386" s="27"/>
      <c r="O386" s="27">
        <v>60</v>
      </c>
      <c r="P386" s="27">
        <v>2</v>
      </c>
      <c r="Q386" s="27">
        <v>25</v>
      </c>
      <c r="R386" s="27">
        <v>0</v>
      </c>
      <c r="S386" s="27"/>
      <c r="T386" s="30" t="s">
        <v>239</v>
      </c>
      <c r="U386" s="30">
        <v>5</v>
      </c>
      <c r="V386" s="30"/>
      <c r="W386" s="30" t="s">
        <v>37</v>
      </c>
      <c r="X386" s="30" t="s">
        <v>37</v>
      </c>
      <c r="Y386" s="30" t="s">
        <v>37</v>
      </c>
      <c r="Z386" s="30" t="s">
        <v>37</v>
      </c>
      <c r="AA386" s="30"/>
      <c r="AB386" s="30"/>
      <c r="AD386" s="30"/>
      <c r="AE386" s="30" t="s">
        <v>37</v>
      </c>
      <c r="AF386" s="30" t="s">
        <v>37</v>
      </c>
      <c r="AG386" s="30" t="s">
        <v>37</v>
      </c>
      <c r="AH386" s="30" t="s">
        <v>85</v>
      </c>
      <c r="AI386" s="30"/>
      <c r="AJ386" s="30"/>
      <c r="AK386" s="32">
        <v>44379</v>
      </c>
      <c r="AL386" s="30"/>
    </row>
    <row r="387" spans="1:38" x14ac:dyDescent="0.25">
      <c r="A387" s="47" t="s">
        <v>558</v>
      </c>
      <c r="B387" s="47" t="s">
        <v>266</v>
      </c>
      <c r="C387" s="15">
        <v>2022</v>
      </c>
      <c r="D387" s="15">
        <v>0</v>
      </c>
      <c r="E387" s="30" t="s">
        <v>124</v>
      </c>
      <c r="F387" s="30">
        <v>15</v>
      </c>
      <c r="G387" s="14">
        <f t="shared" si="64"/>
        <v>0</v>
      </c>
      <c r="H387" s="19">
        <v>0</v>
      </c>
      <c r="I387" s="19">
        <v>0</v>
      </c>
      <c r="J387" s="24" t="s">
        <v>37</v>
      </c>
      <c r="K387" s="14">
        <v>0.25</v>
      </c>
      <c r="L387" s="19">
        <f t="shared" si="65"/>
        <v>0</v>
      </c>
      <c r="M387" s="19">
        <f>AVERAGE(W387:Z387)</f>
        <v>7</v>
      </c>
      <c r="O387" s="19">
        <v>60</v>
      </c>
      <c r="P387" s="19">
        <v>3</v>
      </c>
      <c r="Q387" s="19">
        <v>30</v>
      </c>
      <c r="R387" s="19">
        <v>0</v>
      </c>
      <c r="S387" s="47" t="s">
        <v>37</v>
      </c>
      <c r="T387" s="48" t="s">
        <v>239</v>
      </c>
      <c r="U387" s="14">
        <v>2</v>
      </c>
      <c r="W387" s="14">
        <v>5</v>
      </c>
      <c r="X387" s="14">
        <v>8</v>
      </c>
      <c r="Y387" s="14">
        <v>10</v>
      </c>
      <c r="Z387" s="14">
        <v>5</v>
      </c>
      <c r="AF387" s="48" t="s">
        <v>37</v>
      </c>
      <c r="AH387" s="48" t="s">
        <v>534</v>
      </c>
      <c r="AK387" s="42">
        <v>44746</v>
      </c>
    </row>
    <row r="388" spans="1:38" x14ac:dyDescent="0.25">
      <c r="A388" s="47" t="s">
        <v>558</v>
      </c>
      <c r="B388" s="47" t="s">
        <v>266</v>
      </c>
      <c r="C388" s="15">
        <v>2023</v>
      </c>
      <c r="D388" s="15">
        <v>0</v>
      </c>
      <c r="E388" s="30" t="s">
        <v>124</v>
      </c>
      <c r="F388" s="30">
        <v>15</v>
      </c>
      <c r="G388" s="14">
        <f t="shared" si="64"/>
        <v>0</v>
      </c>
      <c r="H388" s="19">
        <v>0</v>
      </c>
      <c r="I388" s="19">
        <v>0</v>
      </c>
      <c r="J388" s="24" t="s">
        <v>37</v>
      </c>
      <c r="K388" s="14">
        <v>0.25</v>
      </c>
      <c r="L388" s="19">
        <f t="shared" si="65"/>
        <v>0</v>
      </c>
      <c r="M388" s="19">
        <f>AVERAGE(W388:Z388)</f>
        <v>2.5</v>
      </c>
      <c r="N388" s="19">
        <f>AVERAGE(AA388:AB388)</f>
        <v>5.25</v>
      </c>
      <c r="O388" s="19">
        <v>3</v>
      </c>
      <c r="P388" s="19">
        <v>5</v>
      </c>
      <c r="Q388" s="19">
        <v>30</v>
      </c>
      <c r="R388" s="19">
        <v>0</v>
      </c>
      <c r="S388" s="59" t="s">
        <v>37</v>
      </c>
      <c r="T388" s="57" t="s">
        <v>506</v>
      </c>
      <c r="U388" s="14">
        <v>1</v>
      </c>
      <c r="W388" s="14">
        <v>3</v>
      </c>
      <c r="X388" s="14">
        <v>2</v>
      </c>
      <c r="Y388" s="14">
        <v>2</v>
      </c>
      <c r="Z388" s="14">
        <v>3</v>
      </c>
      <c r="AA388" s="14">
        <v>5.5</v>
      </c>
      <c r="AB388" s="14">
        <v>5</v>
      </c>
      <c r="AF388" s="48" t="s">
        <v>37</v>
      </c>
      <c r="AH388" s="57" t="s">
        <v>650</v>
      </c>
      <c r="AK388" s="42">
        <v>44746</v>
      </c>
    </row>
    <row r="389" spans="1:38" x14ac:dyDescent="0.25">
      <c r="A389" s="47" t="s">
        <v>558</v>
      </c>
      <c r="B389" s="47" t="s">
        <v>266</v>
      </c>
      <c r="C389" s="15">
        <v>2024</v>
      </c>
      <c r="D389" s="15">
        <v>0</v>
      </c>
      <c r="E389" s="30" t="s">
        <v>124</v>
      </c>
      <c r="F389" s="30">
        <v>15</v>
      </c>
      <c r="G389" s="14">
        <f t="shared" si="64"/>
        <v>0</v>
      </c>
      <c r="H389" s="19">
        <v>0</v>
      </c>
      <c r="I389" s="19">
        <v>0</v>
      </c>
      <c r="J389" s="24" t="s">
        <v>37</v>
      </c>
      <c r="K389" s="14">
        <v>0.25</v>
      </c>
      <c r="L389" s="19">
        <f t="shared" si="65"/>
        <v>0</v>
      </c>
      <c r="M389" s="19">
        <f>AVERAGE(X389:Z389)</f>
        <v>2.6666666666666665</v>
      </c>
      <c r="O389" s="19">
        <v>55</v>
      </c>
      <c r="P389" s="19">
        <v>30</v>
      </c>
      <c r="Q389" s="19">
        <v>5</v>
      </c>
      <c r="W389" s="14">
        <v>5</v>
      </c>
      <c r="X389" s="14">
        <v>2</v>
      </c>
      <c r="Y389" s="14">
        <v>2</v>
      </c>
      <c r="Z389" s="14">
        <v>4</v>
      </c>
    </row>
    <row r="390" spans="1:38" x14ac:dyDescent="0.25">
      <c r="A390" s="27" t="s">
        <v>558</v>
      </c>
      <c r="B390" s="27" t="s">
        <v>267</v>
      </c>
      <c r="C390" s="34">
        <v>2021</v>
      </c>
      <c r="D390" s="34">
        <v>0</v>
      </c>
      <c r="E390" s="30" t="s">
        <v>124</v>
      </c>
      <c r="F390" s="30">
        <v>25</v>
      </c>
      <c r="G390" s="30">
        <f t="shared" si="64"/>
        <v>0</v>
      </c>
      <c r="H390" s="27">
        <v>0</v>
      </c>
      <c r="I390" s="27">
        <v>0</v>
      </c>
      <c r="J390" s="24" t="s">
        <v>37</v>
      </c>
      <c r="K390" s="30">
        <v>0.25</v>
      </c>
      <c r="L390" s="27">
        <f t="shared" si="65"/>
        <v>0</v>
      </c>
      <c r="M390" s="27">
        <f>AVERAGE(W390:Z390)</f>
        <v>6.5</v>
      </c>
      <c r="N390" s="27"/>
      <c r="O390" s="27">
        <v>40</v>
      </c>
      <c r="P390" s="27">
        <v>5</v>
      </c>
      <c r="Q390" s="27">
        <v>20</v>
      </c>
      <c r="R390" s="27">
        <v>0</v>
      </c>
      <c r="S390" s="27"/>
      <c r="T390" s="30" t="s">
        <v>239</v>
      </c>
      <c r="U390" s="30">
        <v>1</v>
      </c>
      <c r="V390" s="30"/>
      <c r="W390" s="30">
        <v>13</v>
      </c>
      <c r="X390" s="30">
        <v>6</v>
      </c>
      <c r="Y390" s="30">
        <v>4</v>
      </c>
      <c r="Z390" s="30">
        <v>3</v>
      </c>
      <c r="AA390" s="30"/>
      <c r="AB390" s="30"/>
      <c r="AD390" s="30"/>
      <c r="AE390" s="30" t="s">
        <v>37</v>
      </c>
      <c r="AF390" s="30" t="s">
        <v>37</v>
      </c>
      <c r="AG390" s="30" t="s">
        <v>37</v>
      </c>
      <c r="AH390" s="30" t="s">
        <v>85</v>
      </c>
      <c r="AI390" s="30"/>
      <c r="AJ390" s="30"/>
      <c r="AK390" s="32">
        <v>44379</v>
      </c>
      <c r="AL390" s="30"/>
    </row>
    <row r="391" spans="1:38" x14ac:dyDescent="0.25">
      <c r="A391" s="47" t="s">
        <v>558</v>
      </c>
      <c r="B391" s="47" t="s">
        <v>267</v>
      </c>
      <c r="C391" s="15">
        <v>2022</v>
      </c>
      <c r="D391" s="15">
        <v>0</v>
      </c>
      <c r="E391" s="30" t="s">
        <v>124</v>
      </c>
      <c r="F391" s="30">
        <v>25</v>
      </c>
      <c r="G391" s="14">
        <f t="shared" si="64"/>
        <v>0</v>
      </c>
      <c r="H391" s="19">
        <v>0</v>
      </c>
      <c r="I391" s="19">
        <v>0</v>
      </c>
      <c r="J391" s="24" t="s">
        <v>37</v>
      </c>
      <c r="K391" s="14">
        <v>0.25</v>
      </c>
      <c r="L391" s="19">
        <f t="shared" si="65"/>
        <v>0</v>
      </c>
      <c r="M391" s="19">
        <f>AVERAGE(W391:Z391)</f>
        <v>6</v>
      </c>
      <c r="O391" s="19">
        <v>80</v>
      </c>
      <c r="P391" s="19">
        <v>5</v>
      </c>
      <c r="Q391" s="19">
        <v>40</v>
      </c>
      <c r="R391" s="19">
        <v>0</v>
      </c>
      <c r="S391" s="47" t="s">
        <v>37</v>
      </c>
      <c r="T391" s="48" t="s">
        <v>239</v>
      </c>
      <c r="U391" s="14">
        <v>0.1</v>
      </c>
      <c r="V391" s="48" t="s">
        <v>533</v>
      </c>
      <c r="W391" s="14">
        <v>11</v>
      </c>
      <c r="X391" s="14">
        <v>3</v>
      </c>
      <c r="Y391" s="14">
        <v>6</v>
      </c>
      <c r="Z391" s="14">
        <v>4</v>
      </c>
      <c r="AF391" s="48" t="s">
        <v>37</v>
      </c>
      <c r="AH391" s="48" t="s">
        <v>532</v>
      </c>
      <c r="AK391" s="42">
        <v>44746</v>
      </c>
    </row>
    <row r="392" spans="1:38" x14ac:dyDescent="0.25">
      <c r="A392" s="47" t="s">
        <v>558</v>
      </c>
      <c r="B392" s="47" t="s">
        <v>267</v>
      </c>
      <c r="C392" s="15">
        <v>2023</v>
      </c>
      <c r="D392" s="15">
        <v>0</v>
      </c>
      <c r="E392" s="30" t="s">
        <v>124</v>
      </c>
      <c r="F392" s="30">
        <v>25</v>
      </c>
      <c r="G392" s="14">
        <f t="shared" si="64"/>
        <v>0</v>
      </c>
      <c r="H392" s="19">
        <v>0</v>
      </c>
      <c r="I392" s="19">
        <v>0</v>
      </c>
      <c r="J392" s="24" t="s">
        <v>37</v>
      </c>
      <c r="K392" s="14">
        <v>0.25</v>
      </c>
      <c r="L392" s="19">
        <f t="shared" si="65"/>
        <v>0</v>
      </c>
      <c r="M392" s="19">
        <f>AVERAGE(W392:Z392)</f>
        <v>4.25</v>
      </c>
      <c r="N392" s="19">
        <f>AVERAGE(AA392:AB392)</f>
        <v>9</v>
      </c>
      <c r="O392" s="19">
        <v>10</v>
      </c>
      <c r="P392" s="19">
        <v>10</v>
      </c>
      <c r="Q392" s="19">
        <v>75</v>
      </c>
      <c r="R392" s="19">
        <v>0</v>
      </c>
      <c r="S392" s="59" t="s">
        <v>37</v>
      </c>
      <c r="T392" s="57" t="s">
        <v>239</v>
      </c>
      <c r="U392" s="14">
        <v>1</v>
      </c>
      <c r="V392" s="57" t="s">
        <v>654</v>
      </c>
      <c r="W392" s="14">
        <v>3</v>
      </c>
      <c r="X392" s="14">
        <v>4</v>
      </c>
      <c r="Y392" s="14">
        <v>3</v>
      </c>
      <c r="Z392" s="14">
        <v>7</v>
      </c>
      <c r="AA392" s="14">
        <v>11</v>
      </c>
      <c r="AB392" s="14">
        <v>7</v>
      </c>
      <c r="AF392" s="48" t="s">
        <v>37</v>
      </c>
      <c r="AH392" s="57" t="s">
        <v>650</v>
      </c>
      <c r="AK392" s="42">
        <v>44746</v>
      </c>
    </row>
    <row r="393" spans="1:38" x14ac:dyDescent="0.25">
      <c r="A393" s="47" t="s">
        <v>558</v>
      </c>
      <c r="B393" s="47" t="s">
        <v>267</v>
      </c>
      <c r="C393" s="15">
        <v>2024</v>
      </c>
      <c r="D393" s="15">
        <v>0</v>
      </c>
      <c r="E393" s="30" t="s">
        <v>124</v>
      </c>
      <c r="F393" s="30">
        <v>25</v>
      </c>
      <c r="G393" s="14">
        <f t="shared" si="64"/>
        <v>0</v>
      </c>
      <c r="H393" s="19">
        <v>0</v>
      </c>
      <c r="I393" s="19">
        <v>0</v>
      </c>
      <c r="J393" s="24" t="s">
        <v>37</v>
      </c>
      <c r="K393" s="14">
        <v>0.25</v>
      </c>
      <c r="L393" s="19">
        <f t="shared" si="65"/>
        <v>0</v>
      </c>
      <c r="M393" s="19">
        <f>AVERAGE(X393:Z393)</f>
        <v>4</v>
      </c>
      <c r="O393" s="19">
        <v>65</v>
      </c>
      <c r="P393" s="19">
        <v>25</v>
      </c>
      <c r="Q393" s="19">
        <v>8</v>
      </c>
      <c r="W393" s="14">
        <v>2</v>
      </c>
      <c r="X393" s="14">
        <v>4</v>
      </c>
      <c r="Y393" s="14">
        <v>3</v>
      </c>
      <c r="Z393" s="14">
        <v>5</v>
      </c>
    </row>
    <row r="394" spans="1:38" x14ac:dyDescent="0.25">
      <c r="A394" s="27" t="s">
        <v>558</v>
      </c>
      <c r="B394" s="27" t="s">
        <v>268</v>
      </c>
      <c r="C394" s="34">
        <v>2021</v>
      </c>
      <c r="D394" s="34">
        <v>0</v>
      </c>
      <c r="E394" s="30" t="s">
        <v>138</v>
      </c>
      <c r="F394" s="30">
        <v>10</v>
      </c>
      <c r="G394" s="30">
        <f t="shared" si="64"/>
        <v>0</v>
      </c>
      <c r="H394" s="27">
        <v>0</v>
      </c>
      <c r="I394" s="27">
        <v>0</v>
      </c>
      <c r="J394" s="24" t="s">
        <v>37</v>
      </c>
      <c r="K394" s="30">
        <v>0.25</v>
      </c>
      <c r="L394" s="27">
        <f t="shared" si="65"/>
        <v>0</v>
      </c>
      <c r="M394" s="27">
        <f>AVERAGE(W394:Z394)</f>
        <v>18.75</v>
      </c>
      <c r="N394" s="27"/>
      <c r="O394" s="27">
        <v>75</v>
      </c>
      <c r="P394" s="27">
        <v>10</v>
      </c>
      <c r="Q394" s="27">
        <v>25</v>
      </c>
      <c r="R394" s="27">
        <v>3</v>
      </c>
      <c r="S394" s="27" t="s">
        <v>147</v>
      </c>
      <c r="T394" s="30"/>
      <c r="U394" s="30"/>
      <c r="V394" s="30"/>
      <c r="W394" s="30">
        <v>22</v>
      </c>
      <c r="X394" s="30">
        <v>13</v>
      </c>
      <c r="Y394" s="30">
        <v>31</v>
      </c>
      <c r="Z394" s="30">
        <v>9</v>
      </c>
      <c r="AA394" s="30"/>
      <c r="AB394" s="30"/>
      <c r="AD394" s="30"/>
      <c r="AE394" s="30" t="s">
        <v>37</v>
      </c>
      <c r="AF394" s="30" t="s">
        <v>37</v>
      </c>
      <c r="AG394" s="30" t="s">
        <v>37</v>
      </c>
      <c r="AH394" s="30" t="s">
        <v>85</v>
      </c>
      <c r="AI394" s="30"/>
      <c r="AJ394" s="30"/>
      <c r="AK394" s="32">
        <v>44379</v>
      </c>
      <c r="AL394" s="30"/>
    </row>
    <row r="395" spans="1:38" x14ac:dyDescent="0.25">
      <c r="A395" s="47" t="s">
        <v>558</v>
      </c>
      <c r="B395" s="47" t="s">
        <v>268</v>
      </c>
      <c r="C395" s="15">
        <v>2022</v>
      </c>
      <c r="D395" s="15">
        <v>0</v>
      </c>
      <c r="E395" s="30" t="s">
        <v>138</v>
      </c>
      <c r="F395" s="30">
        <v>10</v>
      </c>
      <c r="G395" s="14">
        <f t="shared" si="64"/>
        <v>0</v>
      </c>
      <c r="H395" s="19">
        <v>0</v>
      </c>
      <c r="I395" s="19">
        <v>0</v>
      </c>
      <c r="J395" s="24" t="s">
        <v>37</v>
      </c>
      <c r="K395" s="14">
        <v>0.25</v>
      </c>
      <c r="L395" s="19">
        <f t="shared" si="65"/>
        <v>0</v>
      </c>
      <c r="M395" s="19">
        <f>AVERAGE(W395:Z395)</f>
        <v>9</v>
      </c>
      <c r="O395" s="19">
        <v>80</v>
      </c>
      <c r="P395" s="19">
        <v>1</v>
      </c>
      <c r="Q395" s="19">
        <v>5</v>
      </c>
      <c r="R395" s="19">
        <v>0</v>
      </c>
      <c r="S395" s="47" t="s">
        <v>37</v>
      </c>
      <c r="T395" s="48" t="s">
        <v>37</v>
      </c>
      <c r="U395" s="14">
        <v>0</v>
      </c>
      <c r="W395" s="14">
        <v>3</v>
      </c>
      <c r="X395" s="14">
        <v>4</v>
      </c>
      <c r="Y395" s="14">
        <v>15</v>
      </c>
      <c r="Z395" s="14">
        <v>14</v>
      </c>
      <c r="AF395" s="48" t="s">
        <v>37</v>
      </c>
      <c r="AH395" s="48" t="s">
        <v>529</v>
      </c>
      <c r="AK395" s="42">
        <v>44746</v>
      </c>
    </row>
    <row r="396" spans="1:38" x14ac:dyDescent="0.25">
      <c r="A396" s="47" t="s">
        <v>558</v>
      </c>
      <c r="B396" s="47" t="s">
        <v>268</v>
      </c>
      <c r="C396" s="15">
        <v>2023</v>
      </c>
      <c r="D396" s="15">
        <v>0</v>
      </c>
      <c r="E396" s="30" t="s">
        <v>138</v>
      </c>
      <c r="F396" s="30">
        <v>10</v>
      </c>
      <c r="G396" s="14">
        <f t="shared" si="64"/>
        <v>0</v>
      </c>
      <c r="H396" s="19">
        <v>0</v>
      </c>
      <c r="I396" s="19">
        <v>0</v>
      </c>
      <c r="J396" s="24" t="s">
        <v>37</v>
      </c>
      <c r="K396" s="14">
        <v>0.25</v>
      </c>
      <c r="L396" s="19">
        <f t="shared" si="65"/>
        <v>0</v>
      </c>
      <c r="M396" s="19">
        <f>AVERAGE(W396:Z396)</f>
        <v>12.75</v>
      </c>
      <c r="N396" s="19">
        <f>AVERAGE(AA396:AB396)</f>
        <v>17.5</v>
      </c>
      <c r="O396" s="19">
        <v>85</v>
      </c>
      <c r="P396" s="59" t="s">
        <v>37</v>
      </c>
      <c r="Q396" s="19">
        <v>10</v>
      </c>
      <c r="R396" s="59" t="s">
        <v>625</v>
      </c>
      <c r="S396" s="59" t="s">
        <v>655</v>
      </c>
      <c r="T396" s="57" t="s">
        <v>239</v>
      </c>
      <c r="U396" s="14">
        <v>0.1</v>
      </c>
      <c r="V396" s="57" t="s">
        <v>656</v>
      </c>
      <c r="W396" s="14">
        <v>10</v>
      </c>
      <c r="X396" s="14">
        <v>20</v>
      </c>
      <c r="Y396" s="14">
        <v>12</v>
      </c>
      <c r="Z396" s="14">
        <v>9</v>
      </c>
      <c r="AA396" s="14">
        <v>22</v>
      </c>
      <c r="AB396" s="14">
        <v>13</v>
      </c>
      <c r="AF396" s="48" t="s">
        <v>37</v>
      </c>
      <c r="AH396" s="57" t="s">
        <v>650</v>
      </c>
      <c r="AK396" s="42">
        <v>44746</v>
      </c>
    </row>
    <row r="397" spans="1:38" x14ac:dyDescent="0.25">
      <c r="A397" s="47" t="s">
        <v>558</v>
      </c>
      <c r="B397" s="47" t="s">
        <v>268</v>
      </c>
      <c r="C397" s="15">
        <v>2024</v>
      </c>
      <c r="D397" s="15">
        <v>0</v>
      </c>
      <c r="E397" s="30" t="s">
        <v>138</v>
      </c>
      <c r="F397" s="30">
        <v>10</v>
      </c>
      <c r="G397" s="14">
        <f t="shared" si="64"/>
        <v>0</v>
      </c>
      <c r="H397" s="19">
        <v>0</v>
      </c>
      <c r="I397" s="19">
        <v>0</v>
      </c>
      <c r="J397" s="24" t="s">
        <v>37</v>
      </c>
      <c r="K397" s="14">
        <v>0.25</v>
      </c>
      <c r="L397" s="19">
        <f t="shared" si="65"/>
        <v>0</v>
      </c>
      <c r="M397" s="19">
        <f>AVERAGE(X397:Z397)</f>
        <v>12</v>
      </c>
      <c r="O397" s="19">
        <v>90</v>
      </c>
      <c r="P397" s="19">
        <v>10</v>
      </c>
      <c r="Q397" s="19">
        <v>5</v>
      </c>
      <c r="W397" s="14">
        <v>12</v>
      </c>
      <c r="X397" s="14">
        <v>11</v>
      </c>
      <c r="Y397" s="14">
        <v>17</v>
      </c>
      <c r="Z397" s="14">
        <v>8</v>
      </c>
    </row>
    <row r="398" spans="1:38" x14ac:dyDescent="0.25">
      <c r="A398" s="27" t="s">
        <v>558</v>
      </c>
      <c r="B398" s="27" t="s">
        <v>269</v>
      </c>
      <c r="C398" s="34">
        <v>2021</v>
      </c>
      <c r="D398" s="34">
        <v>0</v>
      </c>
      <c r="E398" s="30" t="s">
        <v>138</v>
      </c>
      <c r="F398" s="30">
        <v>20</v>
      </c>
      <c r="G398" s="30">
        <f t="shared" si="64"/>
        <v>0</v>
      </c>
      <c r="H398" s="27">
        <v>0</v>
      </c>
      <c r="I398" s="27">
        <v>0</v>
      </c>
      <c r="J398" s="24" t="s">
        <v>37</v>
      </c>
      <c r="K398" s="30">
        <v>0.25</v>
      </c>
      <c r="L398" s="27">
        <f t="shared" si="65"/>
        <v>0</v>
      </c>
      <c r="M398" s="27">
        <f>AVERAGE(W398:Z398)</f>
        <v>14.5</v>
      </c>
      <c r="N398" s="27"/>
      <c r="O398" s="27">
        <v>75</v>
      </c>
      <c r="P398" s="27">
        <v>1</v>
      </c>
      <c r="Q398" s="27">
        <v>25</v>
      </c>
      <c r="R398" s="27">
        <v>1</v>
      </c>
      <c r="S398" s="27" t="s">
        <v>147</v>
      </c>
      <c r="T398" s="30" t="s">
        <v>270</v>
      </c>
      <c r="U398" s="30"/>
      <c r="V398" s="30"/>
      <c r="W398" s="30">
        <v>12</v>
      </c>
      <c r="X398" s="30">
        <v>15</v>
      </c>
      <c r="Y398" s="30">
        <v>20</v>
      </c>
      <c r="Z398" s="30">
        <v>11</v>
      </c>
      <c r="AA398" s="30"/>
      <c r="AB398" s="30"/>
      <c r="AD398" s="30"/>
      <c r="AE398" s="30" t="s">
        <v>37</v>
      </c>
      <c r="AF398" s="30" t="s">
        <v>37</v>
      </c>
      <c r="AG398" s="30" t="s">
        <v>37</v>
      </c>
      <c r="AH398" s="30" t="s">
        <v>85</v>
      </c>
      <c r="AI398" s="30"/>
      <c r="AJ398" s="30"/>
      <c r="AK398" s="32">
        <v>44379</v>
      </c>
      <c r="AL398" s="30"/>
    </row>
    <row r="399" spans="1:38" x14ac:dyDescent="0.25">
      <c r="A399" s="47" t="s">
        <v>558</v>
      </c>
      <c r="B399" s="47" t="s">
        <v>269</v>
      </c>
      <c r="C399" s="15">
        <v>2022</v>
      </c>
      <c r="D399" s="15">
        <v>0</v>
      </c>
      <c r="E399" s="30" t="s">
        <v>138</v>
      </c>
      <c r="F399" s="30">
        <v>20</v>
      </c>
      <c r="G399" s="14">
        <f t="shared" si="64"/>
        <v>0</v>
      </c>
      <c r="H399" s="19">
        <v>0</v>
      </c>
      <c r="I399" s="19">
        <v>0</v>
      </c>
      <c r="J399" s="24" t="s">
        <v>37</v>
      </c>
      <c r="K399" s="14">
        <v>0.25</v>
      </c>
      <c r="L399" s="19">
        <f t="shared" si="65"/>
        <v>0</v>
      </c>
      <c r="M399" s="19">
        <f>AVERAGE(W399:Z399)</f>
        <v>8.25</v>
      </c>
      <c r="O399" s="19">
        <v>97</v>
      </c>
      <c r="P399" s="19">
        <v>0</v>
      </c>
      <c r="Q399" s="19">
        <v>8</v>
      </c>
      <c r="R399" s="19">
        <v>0</v>
      </c>
      <c r="S399" s="47" t="s">
        <v>37</v>
      </c>
      <c r="T399" s="48" t="s">
        <v>239</v>
      </c>
      <c r="U399" s="14">
        <v>0.1</v>
      </c>
      <c r="W399" s="14">
        <v>6</v>
      </c>
      <c r="X399" s="14">
        <v>7</v>
      </c>
      <c r="Y399" s="14">
        <v>6</v>
      </c>
      <c r="Z399" s="14">
        <v>14</v>
      </c>
      <c r="AF399" s="48" t="s">
        <v>37</v>
      </c>
      <c r="AK399" s="42">
        <v>44746</v>
      </c>
    </row>
    <row r="400" spans="1:38" x14ac:dyDescent="0.25">
      <c r="A400" s="47" t="s">
        <v>558</v>
      </c>
      <c r="B400" s="47" t="s">
        <v>269</v>
      </c>
      <c r="C400" s="15">
        <v>2023</v>
      </c>
      <c r="D400" s="15">
        <v>0</v>
      </c>
      <c r="E400" s="30" t="s">
        <v>138</v>
      </c>
      <c r="F400" s="30">
        <v>20</v>
      </c>
      <c r="G400" s="14">
        <f t="shared" si="64"/>
        <v>0</v>
      </c>
      <c r="H400" s="19">
        <v>0</v>
      </c>
      <c r="I400" s="19">
        <v>0</v>
      </c>
      <c r="J400" s="24" t="s">
        <v>37</v>
      </c>
      <c r="K400" s="14">
        <v>0.25</v>
      </c>
      <c r="L400" s="19">
        <f t="shared" si="65"/>
        <v>0</v>
      </c>
      <c r="M400" s="19">
        <f>AVERAGE(W400:Z400)</f>
        <v>9</v>
      </c>
      <c r="N400" s="19">
        <f>AVERAGE(AA400:AB400)</f>
        <v>18</v>
      </c>
      <c r="O400" s="19">
        <v>30</v>
      </c>
      <c r="P400" s="19">
        <v>0</v>
      </c>
      <c r="Q400" s="19">
        <v>20</v>
      </c>
      <c r="R400" s="19">
        <v>0</v>
      </c>
      <c r="S400" s="59" t="s">
        <v>37</v>
      </c>
      <c r="T400" s="57" t="s">
        <v>239</v>
      </c>
      <c r="U400" s="14">
        <v>0.1</v>
      </c>
      <c r="W400" s="14">
        <v>5</v>
      </c>
      <c r="X400" s="14">
        <v>11</v>
      </c>
      <c r="Y400" s="14">
        <v>8</v>
      </c>
      <c r="Z400" s="14">
        <v>12</v>
      </c>
      <c r="AA400" s="14">
        <v>11</v>
      </c>
      <c r="AB400" s="14">
        <v>25</v>
      </c>
      <c r="AF400" s="48" t="s">
        <v>37</v>
      </c>
      <c r="AH400" s="57" t="s">
        <v>650</v>
      </c>
      <c r="AK400" s="42">
        <v>44746</v>
      </c>
    </row>
    <row r="401" spans="1:38" x14ac:dyDescent="0.25">
      <c r="A401" s="47" t="s">
        <v>558</v>
      </c>
      <c r="B401" s="47" t="s">
        <v>269</v>
      </c>
      <c r="C401" s="15">
        <v>2024</v>
      </c>
      <c r="D401" s="15">
        <v>0</v>
      </c>
      <c r="E401" s="30" t="s">
        <v>138</v>
      </c>
      <c r="F401" s="30">
        <v>20</v>
      </c>
      <c r="G401" s="14">
        <f t="shared" si="64"/>
        <v>0</v>
      </c>
      <c r="H401" s="19">
        <v>0</v>
      </c>
      <c r="I401" s="19">
        <v>0</v>
      </c>
      <c r="J401" s="24" t="s">
        <v>37</v>
      </c>
      <c r="K401" s="14">
        <v>0.25</v>
      </c>
      <c r="L401" s="19">
        <f t="shared" si="65"/>
        <v>0</v>
      </c>
      <c r="M401" s="19">
        <f>AVERAGE(X401:Z401)</f>
        <v>5.666666666666667</v>
      </c>
      <c r="O401" s="19">
        <v>90</v>
      </c>
      <c r="P401" s="19">
        <v>1</v>
      </c>
      <c r="Q401" s="19">
        <v>10</v>
      </c>
      <c r="W401" s="14">
        <v>12</v>
      </c>
      <c r="X401" s="14">
        <v>4</v>
      </c>
      <c r="Y401" s="14">
        <v>7</v>
      </c>
      <c r="Z401" s="14">
        <v>6</v>
      </c>
    </row>
    <row r="402" spans="1:38" hidden="1" x14ac:dyDescent="0.25">
      <c r="A402" s="21" t="s">
        <v>558</v>
      </c>
      <c r="B402" s="27" t="s">
        <v>243</v>
      </c>
      <c r="C402" s="3">
        <v>2014</v>
      </c>
      <c r="D402" s="3">
        <v>1</v>
      </c>
      <c r="E402" s="3" t="s">
        <v>37</v>
      </c>
      <c r="F402" s="3" t="s">
        <v>37</v>
      </c>
      <c r="G402" s="2">
        <v>16</v>
      </c>
      <c r="H402" s="21">
        <v>1</v>
      </c>
      <c r="I402" s="21">
        <f>G402-H402</f>
        <v>15</v>
      </c>
      <c r="J402" s="24">
        <f>H402/G402</f>
        <v>6.25E-2</v>
      </c>
      <c r="K402" s="2">
        <v>0.25</v>
      </c>
      <c r="L402" s="27">
        <f t="shared" si="65"/>
        <v>16</v>
      </c>
      <c r="M402" s="27">
        <v>4</v>
      </c>
      <c r="N402" s="27"/>
      <c r="O402" s="27">
        <v>85</v>
      </c>
      <c r="P402" s="27"/>
      <c r="Q402" s="27"/>
      <c r="R402" s="27"/>
      <c r="S402" s="27"/>
      <c r="T402" s="30"/>
      <c r="U402" s="30"/>
      <c r="V402" s="30"/>
      <c r="W402" s="30"/>
      <c r="X402" s="30"/>
      <c r="Y402" s="30"/>
      <c r="Z402" s="30"/>
      <c r="AA402" s="30"/>
      <c r="AB402" s="30"/>
      <c r="AC402" s="2"/>
      <c r="AD402" s="3" t="s">
        <v>242</v>
      </c>
      <c r="AE402" s="3">
        <v>6.25E-2</v>
      </c>
      <c r="AF402" s="2">
        <v>576.5625</v>
      </c>
      <c r="AG402" s="30">
        <v>7.7</v>
      </c>
      <c r="AH402" s="30"/>
      <c r="AI402" s="30"/>
      <c r="AJ402" s="30"/>
      <c r="AK402" s="30"/>
      <c r="AL402" s="30"/>
    </row>
    <row r="403" spans="1:38" hidden="1" x14ac:dyDescent="0.25">
      <c r="A403" s="21" t="s">
        <v>558</v>
      </c>
      <c r="B403" s="27" t="s">
        <v>243</v>
      </c>
      <c r="C403" s="3">
        <v>2015</v>
      </c>
      <c r="D403" s="3">
        <v>1</v>
      </c>
      <c r="E403" s="3" t="s">
        <v>37</v>
      </c>
      <c r="F403" s="3" t="s">
        <v>37</v>
      </c>
      <c r="G403" s="2">
        <v>1</v>
      </c>
      <c r="H403" s="21">
        <v>0</v>
      </c>
      <c r="I403" s="21">
        <f>G403-H403</f>
        <v>1</v>
      </c>
      <c r="J403" s="24">
        <f>H403/G403</f>
        <v>0</v>
      </c>
      <c r="K403" s="2">
        <v>0.25</v>
      </c>
      <c r="L403" s="27">
        <f t="shared" si="65"/>
        <v>1</v>
      </c>
      <c r="M403" s="27" t="s">
        <v>37</v>
      </c>
      <c r="N403" s="27"/>
      <c r="O403" s="27" t="s">
        <v>37</v>
      </c>
      <c r="P403" s="27"/>
      <c r="Q403" s="27"/>
      <c r="R403" s="27"/>
      <c r="S403" s="27"/>
      <c r="T403" s="30"/>
      <c r="U403" s="30"/>
      <c r="V403" s="30"/>
      <c r="W403" s="30"/>
      <c r="X403" s="30"/>
      <c r="Y403" s="30"/>
      <c r="Z403" s="30"/>
      <c r="AA403" s="30"/>
      <c r="AB403" s="30"/>
      <c r="AC403" s="2"/>
      <c r="AD403" s="3" t="s">
        <v>242</v>
      </c>
      <c r="AE403" s="3" t="s">
        <v>37</v>
      </c>
      <c r="AF403" s="2">
        <v>96</v>
      </c>
      <c r="AG403" s="30" t="s">
        <v>37</v>
      </c>
      <c r="AH403" s="30"/>
      <c r="AI403" s="30"/>
      <c r="AJ403" s="30"/>
      <c r="AK403" s="30"/>
      <c r="AL403" s="30"/>
    </row>
    <row r="404" spans="1:38" hidden="1" x14ac:dyDescent="0.25">
      <c r="A404" s="21" t="s">
        <v>558</v>
      </c>
      <c r="B404" s="27" t="s">
        <v>243</v>
      </c>
      <c r="C404" s="3">
        <v>2016</v>
      </c>
      <c r="D404" s="3">
        <v>1</v>
      </c>
      <c r="E404" s="3" t="s">
        <v>37</v>
      </c>
      <c r="F404" s="3" t="s">
        <v>37</v>
      </c>
      <c r="G404" s="25" t="s">
        <v>37</v>
      </c>
      <c r="H404" s="23" t="s">
        <v>37</v>
      </c>
      <c r="I404" s="24" t="s">
        <v>37</v>
      </c>
      <c r="J404" s="24" t="s">
        <v>37</v>
      </c>
      <c r="K404" s="2">
        <v>0.25</v>
      </c>
      <c r="L404" s="24" t="s">
        <v>37</v>
      </c>
      <c r="M404" s="27">
        <v>3.875</v>
      </c>
      <c r="N404" s="27"/>
      <c r="O404" s="27">
        <v>60</v>
      </c>
      <c r="P404" s="27"/>
      <c r="Q404" s="27"/>
      <c r="R404" s="27"/>
      <c r="S404" s="27"/>
      <c r="T404" s="30"/>
      <c r="U404" s="30"/>
      <c r="V404" s="30"/>
      <c r="W404" s="30"/>
      <c r="X404" s="30"/>
      <c r="Y404" s="30"/>
      <c r="Z404" s="30"/>
      <c r="AA404" s="30"/>
      <c r="AB404" s="30"/>
      <c r="AC404" s="2"/>
      <c r="AD404" s="3" t="s">
        <v>242</v>
      </c>
      <c r="AE404" s="3" t="s">
        <v>37</v>
      </c>
      <c r="AF404" s="2" t="s">
        <v>37</v>
      </c>
      <c r="AG404" s="30">
        <v>35.1</v>
      </c>
      <c r="AH404" s="30"/>
      <c r="AI404" s="30"/>
      <c r="AJ404" s="30"/>
      <c r="AK404" s="30"/>
      <c r="AL404" s="30"/>
    </row>
    <row r="405" spans="1:38" hidden="1" x14ac:dyDescent="0.25">
      <c r="A405" s="21" t="s">
        <v>558</v>
      </c>
      <c r="B405" s="27" t="s">
        <v>243</v>
      </c>
      <c r="C405" s="3">
        <v>2017</v>
      </c>
      <c r="D405" s="3">
        <v>1</v>
      </c>
      <c r="E405" s="3" t="s">
        <v>37</v>
      </c>
      <c r="F405" s="3" t="s">
        <v>37</v>
      </c>
      <c r="G405" s="25" t="s">
        <v>37</v>
      </c>
      <c r="H405" s="23" t="s">
        <v>37</v>
      </c>
      <c r="I405" s="21" t="s">
        <v>37</v>
      </c>
      <c r="J405" s="24" t="s">
        <v>37</v>
      </c>
      <c r="K405" s="2">
        <v>0.25</v>
      </c>
      <c r="L405" s="24" t="s">
        <v>37</v>
      </c>
      <c r="M405" s="27">
        <v>6</v>
      </c>
      <c r="N405" s="27"/>
      <c r="O405" s="27">
        <v>60</v>
      </c>
      <c r="P405" s="27"/>
      <c r="Q405" s="27"/>
      <c r="R405" s="27"/>
      <c r="S405" s="27"/>
      <c r="T405" s="30"/>
      <c r="U405" s="30"/>
      <c r="V405" s="30"/>
      <c r="W405" s="30"/>
      <c r="X405" s="30"/>
      <c r="Y405" s="30"/>
      <c r="Z405" s="30"/>
      <c r="AA405" s="30"/>
      <c r="AB405" s="30"/>
      <c r="AC405" s="2"/>
      <c r="AD405" s="3" t="s">
        <v>242</v>
      </c>
      <c r="AE405" s="3" t="s">
        <v>37</v>
      </c>
      <c r="AF405" s="2" t="s">
        <v>37</v>
      </c>
      <c r="AG405" s="30">
        <v>9.65</v>
      </c>
      <c r="AH405" s="30"/>
      <c r="AI405" s="30"/>
      <c r="AJ405" s="30"/>
      <c r="AK405" s="30"/>
      <c r="AL405" s="30"/>
    </row>
    <row r="406" spans="1:38" hidden="1" x14ac:dyDescent="0.25">
      <c r="A406" s="21" t="s">
        <v>558</v>
      </c>
      <c r="B406" s="27" t="s">
        <v>243</v>
      </c>
      <c r="C406" s="3">
        <v>2018</v>
      </c>
      <c r="D406" s="3">
        <v>1</v>
      </c>
      <c r="E406" s="3" t="s">
        <v>37</v>
      </c>
      <c r="F406" s="3" t="s">
        <v>37</v>
      </c>
      <c r="G406" s="30" t="s">
        <v>37</v>
      </c>
      <c r="H406" s="27" t="s">
        <v>37</v>
      </c>
      <c r="I406" s="27" t="s">
        <v>37</v>
      </c>
      <c r="J406" s="27" t="s">
        <v>37</v>
      </c>
      <c r="K406" s="2" t="s">
        <v>37</v>
      </c>
      <c r="L406" s="24" t="s">
        <v>37</v>
      </c>
      <c r="M406" s="27" t="s">
        <v>37</v>
      </c>
      <c r="N406" s="27"/>
      <c r="O406" s="27" t="s">
        <v>37</v>
      </c>
      <c r="P406" s="27"/>
      <c r="Q406" s="27"/>
      <c r="R406" s="27"/>
      <c r="S406" s="27"/>
      <c r="T406" s="30"/>
      <c r="U406" s="30"/>
      <c r="V406" s="30"/>
      <c r="W406" s="30"/>
      <c r="X406" s="30"/>
      <c r="Y406" s="30"/>
      <c r="Z406" s="30"/>
      <c r="AA406" s="30"/>
      <c r="AB406" s="30"/>
      <c r="AC406" s="2"/>
      <c r="AD406" s="3" t="s">
        <v>242</v>
      </c>
      <c r="AE406" s="3" t="s">
        <v>37</v>
      </c>
      <c r="AF406" s="30" t="s">
        <v>37</v>
      </c>
      <c r="AG406" s="30" t="s">
        <v>37</v>
      </c>
      <c r="AH406" s="30"/>
      <c r="AI406" s="30"/>
      <c r="AJ406" s="30"/>
      <c r="AK406" s="30"/>
      <c r="AL406" s="30"/>
    </row>
    <row r="407" spans="1:38" hidden="1" x14ac:dyDescent="0.25">
      <c r="A407" s="21" t="s">
        <v>558</v>
      </c>
      <c r="B407" s="27" t="s">
        <v>243</v>
      </c>
      <c r="C407" s="3">
        <v>2019</v>
      </c>
      <c r="D407" s="3">
        <v>1</v>
      </c>
      <c r="E407" s="3" t="s">
        <v>37</v>
      </c>
      <c r="F407" s="3" t="s">
        <v>37</v>
      </c>
      <c r="G407" s="30">
        <f t="shared" ref="G407:G412" si="66">SUM(H407:I407)</f>
        <v>0</v>
      </c>
      <c r="H407" s="27">
        <v>0</v>
      </c>
      <c r="I407" s="21">
        <v>0</v>
      </c>
      <c r="J407" s="24" t="s">
        <v>37</v>
      </c>
      <c r="K407" s="30">
        <v>0.25</v>
      </c>
      <c r="L407" s="27">
        <f t="shared" ref="L407:L416" si="67">G407/(K407/0.25)</f>
        <v>0</v>
      </c>
      <c r="M407" s="27">
        <f>(2+1.5+3+0)/4</f>
        <v>1.625</v>
      </c>
      <c r="N407" s="27"/>
      <c r="O407" s="27">
        <v>25</v>
      </c>
      <c r="P407" s="27">
        <v>25</v>
      </c>
      <c r="Q407" s="27"/>
      <c r="R407" s="27"/>
      <c r="S407" s="27"/>
      <c r="T407" s="30"/>
      <c r="U407" s="30"/>
      <c r="V407" s="30"/>
      <c r="W407" s="30"/>
      <c r="X407" s="30"/>
      <c r="Y407" s="30"/>
      <c r="Z407" s="30"/>
      <c r="AA407" s="30"/>
      <c r="AB407" s="30"/>
      <c r="AC407" s="2"/>
      <c r="AD407" s="3" t="s">
        <v>242</v>
      </c>
      <c r="AE407" s="3" t="s">
        <v>37</v>
      </c>
      <c r="AF407" s="30" t="s">
        <v>37</v>
      </c>
      <c r="AG407" s="30"/>
      <c r="AH407" s="30" t="s">
        <v>85</v>
      </c>
      <c r="AI407" s="30"/>
      <c r="AJ407" s="30"/>
      <c r="AK407" s="32">
        <v>43637</v>
      </c>
      <c r="AL407" s="30">
        <v>7</v>
      </c>
    </row>
    <row r="408" spans="1:38" hidden="1" x14ac:dyDescent="0.25">
      <c r="A408" s="21" t="s">
        <v>558</v>
      </c>
      <c r="B408" s="27" t="s">
        <v>243</v>
      </c>
      <c r="C408" s="3">
        <v>2020</v>
      </c>
      <c r="D408" s="3">
        <v>1</v>
      </c>
      <c r="E408" s="3" t="s">
        <v>37</v>
      </c>
      <c r="F408" s="3" t="s">
        <v>37</v>
      </c>
      <c r="G408" s="30">
        <f t="shared" si="66"/>
        <v>0</v>
      </c>
      <c r="H408" s="27">
        <v>0</v>
      </c>
      <c r="I408" s="21">
        <v>0</v>
      </c>
      <c r="J408" s="24" t="s">
        <v>37</v>
      </c>
      <c r="K408" s="30">
        <v>0.25</v>
      </c>
      <c r="L408" s="27">
        <f t="shared" si="67"/>
        <v>0</v>
      </c>
      <c r="M408" s="27">
        <v>6</v>
      </c>
      <c r="N408" s="27"/>
      <c r="O408" s="27">
        <v>50</v>
      </c>
      <c r="P408" s="27">
        <v>30</v>
      </c>
      <c r="Q408" s="27"/>
      <c r="R408" s="27"/>
      <c r="S408" s="27"/>
      <c r="T408" s="30"/>
      <c r="U408" s="30"/>
      <c r="V408" s="30"/>
      <c r="W408" s="30"/>
      <c r="X408" s="30"/>
      <c r="Y408" s="30"/>
      <c r="Z408" s="30"/>
      <c r="AA408" s="30"/>
      <c r="AB408" s="30"/>
      <c r="AC408" s="2"/>
      <c r="AD408" s="3" t="s">
        <v>242</v>
      </c>
      <c r="AE408" s="3" t="s">
        <v>37</v>
      </c>
      <c r="AF408" s="30" t="s">
        <v>37</v>
      </c>
      <c r="AG408" s="30"/>
      <c r="AH408" s="30" t="s">
        <v>85</v>
      </c>
      <c r="AI408" s="30"/>
      <c r="AJ408" s="30"/>
      <c r="AK408" s="32">
        <v>43990</v>
      </c>
      <c r="AL408" s="30"/>
    </row>
    <row r="409" spans="1:38" hidden="1" x14ac:dyDescent="0.25">
      <c r="A409" s="27" t="s">
        <v>558</v>
      </c>
      <c r="B409" s="27" t="s">
        <v>243</v>
      </c>
      <c r="C409" s="34">
        <v>2021</v>
      </c>
      <c r="D409" s="3">
        <v>1</v>
      </c>
      <c r="E409" s="30" t="s">
        <v>37</v>
      </c>
      <c r="F409" s="30" t="s">
        <v>37</v>
      </c>
      <c r="G409" s="30">
        <f t="shared" si="66"/>
        <v>0</v>
      </c>
      <c r="H409" s="27">
        <v>0</v>
      </c>
      <c r="I409" s="27">
        <v>0</v>
      </c>
      <c r="J409" s="24" t="s">
        <v>37</v>
      </c>
      <c r="K409" s="30">
        <v>0.25</v>
      </c>
      <c r="L409" s="27">
        <f t="shared" si="67"/>
        <v>0</v>
      </c>
      <c r="M409" s="27">
        <f>AVERAGE(W409:Z409)</f>
        <v>9.25</v>
      </c>
      <c r="N409" s="27"/>
      <c r="O409" s="27">
        <v>90</v>
      </c>
      <c r="P409" s="27">
        <v>2</v>
      </c>
      <c r="Q409" s="27">
        <v>5</v>
      </c>
      <c r="R409" s="27"/>
      <c r="S409" s="27"/>
      <c r="T409" s="30"/>
      <c r="U409" s="30"/>
      <c r="V409" s="30"/>
      <c r="W409" s="30">
        <v>7</v>
      </c>
      <c r="X409" s="30">
        <v>6</v>
      </c>
      <c r="Y409" s="30">
        <v>16</v>
      </c>
      <c r="Z409" s="30">
        <v>8</v>
      </c>
      <c r="AA409" s="30"/>
      <c r="AB409" s="30"/>
      <c r="AC409" s="2"/>
      <c r="AD409" s="30" t="s">
        <v>242</v>
      </c>
      <c r="AE409" s="30" t="s">
        <v>37</v>
      </c>
      <c r="AF409" s="30" t="s">
        <v>37</v>
      </c>
      <c r="AG409" s="30" t="s">
        <v>37</v>
      </c>
      <c r="AH409" s="30" t="s">
        <v>244</v>
      </c>
      <c r="AI409" s="30"/>
      <c r="AJ409" s="30"/>
      <c r="AK409" s="32">
        <v>44379</v>
      </c>
      <c r="AL409" s="30"/>
    </row>
    <row r="410" spans="1:38" hidden="1" x14ac:dyDescent="0.25">
      <c r="A410" s="47" t="s">
        <v>558</v>
      </c>
      <c r="B410" s="47" t="s">
        <v>243</v>
      </c>
      <c r="C410" s="15">
        <v>2022</v>
      </c>
      <c r="D410" s="15">
        <v>1</v>
      </c>
      <c r="E410" s="30" t="s">
        <v>37</v>
      </c>
      <c r="F410" s="30" t="s">
        <v>37</v>
      </c>
      <c r="G410" s="14">
        <f t="shared" si="66"/>
        <v>0</v>
      </c>
      <c r="H410" s="19">
        <v>0</v>
      </c>
      <c r="I410" s="19">
        <v>0</v>
      </c>
      <c r="J410" s="24" t="s">
        <v>37</v>
      </c>
      <c r="K410" s="14">
        <v>0.25</v>
      </c>
      <c r="L410" s="19">
        <f t="shared" si="67"/>
        <v>0</v>
      </c>
      <c r="M410" s="19">
        <f>AVERAGE(W410:Z410)</f>
        <v>12</v>
      </c>
      <c r="O410" s="19">
        <v>99</v>
      </c>
      <c r="P410" s="19">
        <v>2</v>
      </c>
      <c r="Q410" s="19">
        <v>4</v>
      </c>
      <c r="R410" s="19">
        <v>0</v>
      </c>
      <c r="S410" s="47" t="s">
        <v>37</v>
      </c>
      <c r="T410" s="48" t="s">
        <v>530</v>
      </c>
      <c r="U410" s="14">
        <v>3</v>
      </c>
      <c r="W410" s="14">
        <v>9</v>
      </c>
      <c r="X410" s="14">
        <v>11</v>
      </c>
      <c r="Y410" s="14">
        <v>9</v>
      </c>
      <c r="Z410" s="14">
        <v>19</v>
      </c>
      <c r="AF410" s="48" t="s">
        <v>37</v>
      </c>
      <c r="AK410" s="42">
        <v>44746</v>
      </c>
    </row>
    <row r="411" spans="1:38" hidden="1" x14ac:dyDescent="0.25">
      <c r="A411" s="47" t="s">
        <v>558</v>
      </c>
      <c r="B411" s="47" t="s">
        <v>243</v>
      </c>
      <c r="C411" s="15">
        <v>2023</v>
      </c>
      <c r="D411" s="15">
        <v>1</v>
      </c>
      <c r="E411" s="30" t="s">
        <v>37</v>
      </c>
      <c r="F411" s="30" t="s">
        <v>37</v>
      </c>
      <c r="G411" s="14">
        <f t="shared" si="66"/>
        <v>0</v>
      </c>
      <c r="H411" s="19">
        <v>0</v>
      </c>
      <c r="I411" s="19">
        <v>0</v>
      </c>
      <c r="J411" s="24" t="s">
        <v>37</v>
      </c>
      <c r="K411" s="14">
        <v>0.25</v>
      </c>
      <c r="L411" s="19">
        <f t="shared" si="67"/>
        <v>0</v>
      </c>
      <c r="M411" s="19">
        <f>AVERAGE(W411:Z411)</f>
        <v>10.75</v>
      </c>
      <c r="N411" s="19">
        <f>AVERAGE(AA411:AB411)</f>
        <v>11.75</v>
      </c>
      <c r="O411" s="19">
        <v>70</v>
      </c>
      <c r="P411" s="19">
        <v>0</v>
      </c>
      <c r="Q411" s="19">
        <v>30</v>
      </c>
      <c r="R411" s="19">
        <v>0</v>
      </c>
      <c r="S411" s="59" t="s">
        <v>37</v>
      </c>
      <c r="T411" s="57" t="s">
        <v>506</v>
      </c>
      <c r="U411" s="14">
        <v>3</v>
      </c>
      <c r="W411" s="14">
        <v>11</v>
      </c>
      <c r="X411" s="14">
        <v>9</v>
      </c>
      <c r="Y411" s="14">
        <v>16</v>
      </c>
      <c r="Z411" s="14">
        <v>7</v>
      </c>
      <c r="AA411" s="14">
        <v>12.5</v>
      </c>
      <c r="AB411" s="14">
        <v>11</v>
      </c>
      <c r="AF411" s="48" t="s">
        <v>37</v>
      </c>
      <c r="AH411" s="57" t="s">
        <v>650</v>
      </c>
      <c r="AK411" s="42">
        <v>44746</v>
      </c>
    </row>
    <row r="412" spans="1:38" hidden="1" x14ac:dyDescent="0.25">
      <c r="A412" s="47" t="s">
        <v>558</v>
      </c>
      <c r="B412" s="47" t="s">
        <v>243</v>
      </c>
      <c r="C412" s="15">
        <v>2024</v>
      </c>
      <c r="D412" s="15">
        <v>1</v>
      </c>
      <c r="E412" s="30" t="s">
        <v>37</v>
      </c>
      <c r="F412" s="30" t="s">
        <v>37</v>
      </c>
      <c r="G412" s="14">
        <f t="shared" si="66"/>
        <v>0</v>
      </c>
      <c r="H412" s="19">
        <v>0</v>
      </c>
      <c r="I412" s="19">
        <v>0</v>
      </c>
      <c r="J412" s="24" t="s">
        <v>37</v>
      </c>
      <c r="K412" s="14">
        <v>0.25</v>
      </c>
      <c r="L412" s="19">
        <f t="shared" si="67"/>
        <v>0</v>
      </c>
      <c r="M412" s="19">
        <f>AVERAGE(X412:Z412)</f>
        <v>7</v>
      </c>
      <c r="O412" s="19">
        <v>90</v>
      </c>
      <c r="P412" s="19">
        <v>5</v>
      </c>
      <c r="Q412" s="19">
        <v>6</v>
      </c>
      <c r="W412" s="14">
        <v>8</v>
      </c>
      <c r="X412" s="14">
        <v>7</v>
      </c>
      <c r="Y412" s="14">
        <v>7</v>
      </c>
      <c r="Z412" s="14">
        <v>7</v>
      </c>
    </row>
    <row r="413" spans="1:38" hidden="1" x14ac:dyDescent="0.25">
      <c r="A413" s="21" t="s">
        <v>558</v>
      </c>
      <c r="B413" s="27" t="s">
        <v>246</v>
      </c>
      <c r="C413" s="3">
        <v>2014</v>
      </c>
      <c r="D413" s="3">
        <v>1</v>
      </c>
      <c r="E413" s="3" t="s">
        <v>37</v>
      </c>
      <c r="F413" s="3" t="s">
        <v>37</v>
      </c>
      <c r="G413" s="2">
        <v>91</v>
      </c>
      <c r="H413" s="21">
        <v>0</v>
      </c>
      <c r="I413" s="21">
        <f>G413-H413</f>
        <v>91</v>
      </c>
      <c r="J413" s="24">
        <f>H413/G413</f>
        <v>0</v>
      </c>
      <c r="K413" s="2">
        <v>1.5625E-2</v>
      </c>
      <c r="L413" s="27">
        <f t="shared" si="67"/>
        <v>1456</v>
      </c>
      <c r="M413" s="27">
        <v>3</v>
      </c>
      <c r="N413" s="27"/>
      <c r="O413" s="27">
        <v>95</v>
      </c>
      <c r="P413" s="27"/>
      <c r="Q413" s="27"/>
      <c r="R413" s="27"/>
      <c r="S413" s="27"/>
      <c r="T413" s="30"/>
      <c r="U413" s="30"/>
      <c r="V413" s="30"/>
      <c r="W413" s="30"/>
      <c r="X413" s="30"/>
      <c r="Y413" s="30"/>
      <c r="Z413" s="30"/>
      <c r="AA413" s="30"/>
      <c r="AB413" s="30"/>
      <c r="AC413" s="2"/>
      <c r="AD413" s="3" t="s">
        <v>245</v>
      </c>
      <c r="AE413" s="3">
        <v>0.5714285714285714</v>
      </c>
      <c r="AF413" s="2">
        <v>99.07692307692308</v>
      </c>
      <c r="AG413" s="30">
        <v>12.9</v>
      </c>
      <c r="AH413" s="30"/>
      <c r="AI413" s="30"/>
      <c r="AJ413" s="30"/>
      <c r="AK413" s="30"/>
      <c r="AL413" s="30"/>
    </row>
    <row r="414" spans="1:38" hidden="1" x14ac:dyDescent="0.25">
      <c r="A414" s="21" t="s">
        <v>558</v>
      </c>
      <c r="B414" s="27" t="s">
        <v>246</v>
      </c>
      <c r="C414" s="3">
        <v>2015</v>
      </c>
      <c r="D414" s="3">
        <v>1</v>
      </c>
      <c r="E414" s="3" t="s">
        <v>37</v>
      </c>
      <c r="F414" s="3" t="s">
        <v>37</v>
      </c>
      <c r="G414" s="2">
        <v>52</v>
      </c>
      <c r="H414" s="21">
        <v>0</v>
      </c>
      <c r="I414" s="21">
        <f>G414-H414</f>
        <v>52</v>
      </c>
      <c r="J414" s="24">
        <f>H414/G414</f>
        <v>0</v>
      </c>
      <c r="K414" s="2">
        <v>1.5625E-2</v>
      </c>
      <c r="L414" s="27">
        <f t="shared" si="67"/>
        <v>832</v>
      </c>
      <c r="M414" s="27" t="s">
        <v>37</v>
      </c>
      <c r="N414" s="27"/>
      <c r="O414" s="27" t="s">
        <v>37</v>
      </c>
      <c r="P414" s="27"/>
      <c r="Q414" s="27"/>
      <c r="R414" s="27"/>
      <c r="S414" s="27"/>
      <c r="T414" s="30"/>
      <c r="U414" s="30"/>
      <c r="V414" s="30"/>
      <c r="W414" s="30"/>
      <c r="X414" s="30"/>
      <c r="Y414" s="30"/>
      <c r="Z414" s="30"/>
      <c r="AA414" s="30"/>
      <c r="AB414" s="30"/>
      <c r="AC414" s="2"/>
      <c r="AD414" s="3" t="s">
        <v>245</v>
      </c>
      <c r="AE414" s="3">
        <v>0.53846153846153844</v>
      </c>
      <c r="AF414" s="2" t="s">
        <v>37</v>
      </c>
      <c r="AG414" s="30" t="s">
        <v>37</v>
      </c>
      <c r="AH414" s="30"/>
      <c r="AI414" s="30"/>
      <c r="AJ414" s="30"/>
      <c r="AK414" s="30"/>
      <c r="AL414" s="30"/>
    </row>
    <row r="415" spans="1:38" hidden="1" x14ac:dyDescent="0.25">
      <c r="A415" s="21" t="s">
        <v>558</v>
      </c>
      <c r="B415" s="27" t="s">
        <v>246</v>
      </c>
      <c r="C415" s="3">
        <v>2016</v>
      </c>
      <c r="D415" s="3">
        <v>1</v>
      </c>
      <c r="E415" s="3" t="s">
        <v>37</v>
      </c>
      <c r="F415" s="3" t="s">
        <v>37</v>
      </c>
      <c r="G415" s="25">
        <v>28</v>
      </c>
      <c r="H415" s="23">
        <v>0</v>
      </c>
      <c r="I415" s="21">
        <f>G415-H415</f>
        <v>28</v>
      </c>
      <c r="J415" s="24">
        <f>H415/G415</f>
        <v>0</v>
      </c>
      <c r="K415" s="2">
        <v>1.5625E-2</v>
      </c>
      <c r="L415" s="27">
        <f t="shared" si="67"/>
        <v>448</v>
      </c>
      <c r="M415" s="27">
        <v>1.5</v>
      </c>
      <c r="N415" s="27"/>
      <c r="O415" s="27">
        <v>100</v>
      </c>
      <c r="P415" s="27"/>
      <c r="Q415" s="27"/>
      <c r="R415" s="27"/>
      <c r="S415" s="27"/>
      <c r="T415" s="30"/>
      <c r="U415" s="30"/>
      <c r="V415" s="30"/>
      <c r="W415" s="30"/>
      <c r="X415" s="30"/>
      <c r="Y415" s="30"/>
      <c r="Z415" s="30"/>
      <c r="AA415" s="30"/>
      <c r="AB415" s="30"/>
      <c r="AC415" s="2"/>
      <c r="AD415" s="3" t="s">
        <v>245</v>
      </c>
      <c r="AE415" s="3">
        <v>0.8214285714285714</v>
      </c>
      <c r="AF415" s="2">
        <v>218.67859999999999</v>
      </c>
      <c r="AG415" s="30">
        <v>37.375</v>
      </c>
      <c r="AH415" s="30"/>
      <c r="AI415" s="30"/>
      <c r="AJ415" s="30"/>
      <c r="AK415" s="30"/>
      <c r="AL415" s="30"/>
    </row>
    <row r="416" spans="1:38" hidden="1" x14ac:dyDescent="0.25">
      <c r="A416" s="21" t="s">
        <v>558</v>
      </c>
      <c r="B416" s="27" t="s">
        <v>246</v>
      </c>
      <c r="C416" s="3">
        <v>2017</v>
      </c>
      <c r="D416" s="3">
        <v>1</v>
      </c>
      <c r="E416" s="3" t="s">
        <v>37</v>
      </c>
      <c r="F416" s="3" t="s">
        <v>37</v>
      </c>
      <c r="G416" s="25">
        <v>23</v>
      </c>
      <c r="H416" s="23">
        <v>0</v>
      </c>
      <c r="I416" s="21">
        <f>G416-H416</f>
        <v>23</v>
      </c>
      <c r="J416" s="24">
        <f>H416/G416</f>
        <v>0</v>
      </c>
      <c r="K416" s="2">
        <v>1.5625E-2</v>
      </c>
      <c r="L416" s="27">
        <f t="shared" si="67"/>
        <v>368</v>
      </c>
      <c r="M416" s="27">
        <v>2.875</v>
      </c>
      <c r="N416" s="27"/>
      <c r="O416" s="27">
        <v>80</v>
      </c>
      <c r="P416" s="27"/>
      <c r="Q416" s="27"/>
      <c r="R416" s="27"/>
      <c r="S416" s="27"/>
      <c r="T416" s="30"/>
      <c r="U416" s="30"/>
      <c r="V416" s="30"/>
      <c r="W416" s="30"/>
      <c r="X416" s="30"/>
      <c r="Y416" s="30"/>
      <c r="Z416" s="30"/>
      <c r="AA416" s="30"/>
      <c r="AB416" s="30"/>
      <c r="AC416" s="2"/>
      <c r="AD416" s="3" t="s">
        <v>245</v>
      </c>
      <c r="AE416" s="3">
        <v>8.9673913043478257E-2</v>
      </c>
      <c r="AF416" s="2">
        <v>201.92</v>
      </c>
      <c r="AG416" s="30">
        <v>18.149999999999999</v>
      </c>
      <c r="AH416" s="30"/>
      <c r="AI416" s="30"/>
      <c r="AJ416" s="30"/>
      <c r="AK416" s="30"/>
      <c r="AL416" s="30"/>
    </row>
    <row r="417" spans="1:38" hidden="1" x14ac:dyDescent="0.25">
      <c r="A417" s="21" t="s">
        <v>558</v>
      </c>
      <c r="B417" s="27" t="s">
        <v>246</v>
      </c>
      <c r="C417" s="3">
        <v>2018</v>
      </c>
      <c r="D417" s="3">
        <v>1</v>
      </c>
      <c r="E417" s="3" t="s">
        <v>37</v>
      </c>
      <c r="F417" s="3" t="s">
        <v>37</v>
      </c>
      <c r="G417" s="30" t="s">
        <v>37</v>
      </c>
      <c r="H417" s="27" t="s">
        <v>37</v>
      </c>
      <c r="I417" s="27" t="s">
        <v>37</v>
      </c>
      <c r="J417" s="27" t="s">
        <v>37</v>
      </c>
      <c r="K417" s="2" t="s">
        <v>37</v>
      </c>
      <c r="L417" s="24" t="s">
        <v>37</v>
      </c>
      <c r="M417" s="27" t="s">
        <v>37</v>
      </c>
      <c r="N417" s="27"/>
      <c r="O417" s="27" t="s">
        <v>37</v>
      </c>
      <c r="P417" s="27"/>
      <c r="Q417" s="27"/>
      <c r="R417" s="27"/>
      <c r="S417" s="27"/>
      <c r="T417" s="30"/>
      <c r="U417" s="30"/>
      <c r="V417" s="30"/>
      <c r="W417" s="30"/>
      <c r="X417" s="30"/>
      <c r="Y417" s="30"/>
      <c r="Z417" s="30"/>
      <c r="AA417" s="30"/>
      <c r="AB417" s="30"/>
      <c r="AC417" s="2"/>
      <c r="AD417" s="3" t="s">
        <v>245</v>
      </c>
      <c r="AE417" s="3" t="s">
        <v>37</v>
      </c>
      <c r="AF417" s="30" t="s">
        <v>37</v>
      </c>
      <c r="AG417" s="30" t="s">
        <v>37</v>
      </c>
      <c r="AH417" s="30"/>
      <c r="AI417" s="30"/>
      <c r="AJ417" s="30"/>
      <c r="AK417" s="30"/>
      <c r="AL417" s="30"/>
    </row>
    <row r="418" spans="1:38" hidden="1" x14ac:dyDescent="0.25">
      <c r="A418" s="21" t="s">
        <v>558</v>
      </c>
      <c r="B418" s="27" t="s">
        <v>246</v>
      </c>
      <c r="C418" s="3">
        <v>2019</v>
      </c>
      <c r="D418" s="3">
        <v>1</v>
      </c>
      <c r="E418" s="3" t="s">
        <v>37</v>
      </c>
      <c r="F418" s="3" t="s">
        <v>37</v>
      </c>
      <c r="G418" s="30">
        <f t="shared" ref="G418:G423" si="68">SUM(H418:I418)</f>
        <v>33</v>
      </c>
      <c r="H418" s="27">
        <v>0</v>
      </c>
      <c r="I418" s="21">
        <v>33</v>
      </c>
      <c r="J418" s="24">
        <f t="shared" ref="J418:J427" si="69">H418/G418</f>
        <v>0</v>
      </c>
      <c r="K418" s="30">
        <v>0.25</v>
      </c>
      <c r="L418" s="27">
        <f t="shared" ref="L418:L427" si="70">G418/(K418/0.25)</f>
        <v>33</v>
      </c>
      <c r="M418" s="27">
        <f>(10+5+3+3)/4</f>
        <v>5.25</v>
      </c>
      <c r="N418" s="27"/>
      <c r="O418" s="27">
        <v>60</v>
      </c>
      <c r="P418" s="27">
        <v>40</v>
      </c>
      <c r="Q418" s="27"/>
      <c r="R418" s="27"/>
      <c r="S418" s="27"/>
      <c r="T418" s="30"/>
      <c r="U418" s="30"/>
      <c r="V418" s="30"/>
      <c r="W418" s="30"/>
      <c r="X418" s="30"/>
      <c r="Y418" s="30"/>
      <c r="Z418" s="30"/>
      <c r="AA418" s="30"/>
      <c r="AB418" s="30"/>
      <c r="AC418" s="2"/>
      <c r="AD418" s="3" t="s">
        <v>245</v>
      </c>
      <c r="AE418" s="3">
        <v>1.4848484848484849</v>
      </c>
      <c r="AF418" s="30" t="s">
        <v>37</v>
      </c>
      <c r="AG418" s="30"/>
      <c r="AH418" s="30" t="s">
        <v>85</v>
      </c>
      <c r="AI418" s="30"/>
      <c r="AJ418" s="30"/>
      <c r="AK418" s="32">
        <v>43637</v>
      </c>
      <c r="AL418" s="30">
        <v>8</v>
      </c>
    </row>
    <row r="419" spans="1:38" hidden="1" x14ac:dyDescent="0.25">
      <c r="A419" s="21" t="s">
        <v>558</v>
      </c>
      <c r="B419" s="27" t="s">
        <v>246</v>
      </c>
      <c r="C419" s="3">
        <v>2020</v>
      </c>
      <c r="D419" s="3">
        <v>1</v>
      </c>
      <c r="E419" s="3" t="s">
        <v>37</v>
      </c>
      <c r="F419" s="3" t="s">
        <v>37</v>
      </c>
      <c r="G419" s="30">
        <f t="shared" si="68"/>
        <v>49</v>
      </c>
      <c r="H419" s="27">
        <v>3</v>
      </c>
      <c r="I419" s="21">
        <v>46</v>
      </c>
      <c r="J419" s="24">
        <f t="shared" si="69"/>
        <v>6.1224489795918366E-2</v>
      </c>
      <c r="K419" s="30">
        <v>0.25</v>
      </c>
      <c r="L419" s="27">
        <f t="shared" si="70"/>
        <v>49</v>
      </c>
      <c r="M419" s="27">
        <v>7.75</v>
      </c>
      <c r="N419" s="27"/>
      <c r="O419" s="27">
        <v>90</v>
      </c>
      <c r="P419" s="27">
        <v>1</v>
      </c>
      <c r="Q419" s="27"/>
      <c r="R419" s="27"/>
      <c r="S419" s="27"/>
      <c r="T419" s="30" t="s">
        <v>239</v>
      </c>
      <c r="U419" s="30"/>
      <c r="V419" s="30"/>
      <c r="W419" s="30"/>
      <c r="X419" s="30"/>
      <c r="Y419" s="30"/>
      <c r="Z419" s="30"/>
      <c r="AA419" s="30"/>
      <c r="AB419" s="30"/>
      <c r="AC419" s="2"/>
      <c r="AD419" s="3" t="s">
        <v>245</v>
      </c>
      <c r="AE419" s="3" t="s">
        <v>37</v>
      </c>
      <c r="AF419" s="30" t="s">
        <v>37</v>
      </c>
      <c r="AG419" s="30"/>
      <c r="AH419" s="30" t="s">
        <v>85</v>
      </c>
      <c r="AI419" s="30"/>
      <c r="AJ419" s="30"/>
      <c r="AK419" s="32">
        <v>43990</v>
      </c>
      <c r="AL419" s="30"/>
    </row>
    <row r="420" spans="1:38" hidden="1" x14ac:dyDescent="0.25">
      <c r="A420" s="27" t="s">
        <v>558</v>
      </c>
      <c r="B420" s="27" t="s">
        <v>246</v>
      </c>
      <c r="C420" s="34">
        <v>2021</v>
      </c>
      <c r="D420" s="3">
        <v>1</v>
      </c>
      <c r="E420" s="30" t="s">
        <v>37</v>
      </c>
      <c r="F420" s="30" t="s">
        <v>37</v>
      </c>
      <c r="G420" s="30">
        <f t="shared" si="68"/>
        <v>40</v>
      </c>
      <c r="H420" s="27">
        <v>3</v>
      </c>
      <c r="I420" s="27">
        <v>37</v>
      </c>
      <c r="J420" s="24">
        <f t="shared" si="69"/>
        <v>7.4999999999999997E-2</v>
      </c>
      <c r="K420" s="30">
        <v>0.25</v>
      </c>
      <c r="L420" s="27">
        <f t="shared" si="70"/>
        <v>40</v>
      </c>
      <c r="M420" s="27">
        <f>AVERAGE(W420:Z420)</f>
        <v>8.75</v>
      </c>
      <c r="N420" s="27"/>
      <c r="O420" s="27">
        <v>95</v>
      </c>
      <c r="P420" s="27">
        <v>2</v>
      </c>
      <c r="Q420" s="27">
        <v>5</v>
      </c>
      <c r="R420" s="27"/>
      <c r="S420" s="27"/>
      <c r="T420" s="30"/>
      <c r="U420" s="30"/>
      <c r="V420" s="30" t="s">
        <v>247</v>
      </c>
      <c r="W420" s="30">
        <v>6</v>
      </c>
      <c r="X420" s="30">
        <v>8</v>
      </c>
      <c r="Y420" s="30">
        <v>9</v>
      </c>
      <c r="Z420" s="30">
        <v>12</v>
      </c>
      <c r="AA420" s="30"/>
      <c r="AB420" s="30"/>
      <c r="AC420" s="2"/>
      <c r="AD420" s="30" t="s">
        <v>245</v>
      </c>
      <c r="AE420" s="30" t="s">
        <v>37</v>
      </c>
      <c r="AF420" s="30" t="s">
        <v>37</v>
      </c>
      <c r="AG420" s="30" t="s">
        <v>37</v>
      </c>
      <c r="AH420" s="30" t="s">
        <v>85</v>
      </c>
      <c r="AI420" s="30"/>
      <c r="AJ420" s="30"/>
      <c r="AK420" s="32">
        <v>44379</v>
      </c>
      <c r="AL420" s="30"/>
    </row>
    <row r="421" spans="1:38" hidden="1" x14ac:dyDescent="0.25">
      <c r="A421" s="47" t="s">
        <v>558</v>
      </c>
      <c r="B421" s="47" t="s">
        <v>246</v>
      </c>
      <c r="C421" s="15">
        <v>2022</v>
      </c>
      <c r="D421" s="15">
        <v>1</v>
      </c>
      <c r="E421" s="30" t="s">
        <v>37</v>
      </c>
      <c r="F421" s="30" t="s">
        <v>37</v>
      </c>
      <c r="G421" s="14">
        <f t="shared" si="68"/>
        <v>50</v>
      </c>
      <c r="H421" s="19">
        <v>1</v>
      </c>
      <c r="I421" s="19">
        <v>49</v>
      </c>
      <c r="J421" s="24">
        <f t="shared" si="69"/>
        <v>0.02</v>
      </c>
      <c r="K421" s="14">
        <v>0.25</v>
      </c>
      <c r="L421" s="19">
        <f t="shared" si="70"/>
        <v>50</v>
      </c>
      <c r="M421" s="19">
        <f>AVERAGE(W421:Z421)</f>
        <v>4.75</v>
      </c>
      <c r="O421" s="19">
        <v>92</v>
      </c>
      <c r="P421" s="19">
        <v>5</v>
      </c>
      <c r="Q421" s="19">
        <v>10</v>
      </c>
      <c r="R421" s="19">
        <v>0</v>
      </c>
      <c r="S421" s="47" t="s">
        <v>37</v>
      </c>
      <c r="T421" s="48" t="s">
        <v>37</v>
      </c>
      <c r="U421" s="14">
        <v>0</v>
      </c>
      <c r="W421" s="14">
        <v>5</v>
      </c>
      <c r="X421" s="14">
        <v>4</v>
      </c>
      <c r="Y421" s="14">
        <v>4</v>
      </c>
      <c r="Z421" s="14">
        <v>6</v>
      </c>
      <c r="AF421" s="48" t="s">
        <v>37</v>
      </c>
      <c r="AK421" s="42">
        <v>44746</v>
      </c>
    </row>
    <row r="422" spans="1:38" hidden="1" x14ac:dyDescent="0.25">
      <c r="A422" s="47" t="s">
        <v>558</v>
      </c>
      <c r="B422" s="47" t="s">
        <v>246</v>
      </c>
      <c r="C422" s="15">
        <v>2023</v>
      </c>
      <c r="D422" s="15">
        <v>1</v>
      </c>
      <c r="E422" s="30" t="s">
        <v>37</v>
      </c>
      <c r="F422" s="30" t="s">
        <v>37</v>
      </c>
      <c r="G422" s="14">
        <f t="shared" si="68"/>
        <v>28</v>
      </c>
      <c r="H422" s="19">
        <v>5</v>
      </c>
      <c r="I422" s="19">
        <v>23</v>
      </c>
      <c r="J422" s="24">
        <f t="shared" si="69"/>
        <v>0.17857142857142858</v>
      </c>
      <c r="K422" s="14">
        <v>0.25</v>
      </c>
      <c r="L422" s="19">
        <f t="shared" si="70"/>
        <v>28</v>
      </c>
      <c r="M422" s="19">
        <f>AVERAGE(W422:Z422)</f>
        <v>7.5</v>
      </c>
      <c r="N422" s="19">
        <f>AVERAGE(AA422:AB422)</f>
        <v>11</v>
      </c>
      <c r="O422" s="19">
        <v>75</v>
      </c>
      <c r="P422" s="19">
        <v>10</v>
      </c>
      <c r="Q422" s="19">
        <v>20</v>
      </c>
      <c r="R422" s="19">
        <v>0</v>
      </c>
      <c r="S422" s="59" t="s">
        <v>37</v>
      </c>
      <c r="T422" s="57" t="s">
        <v>239</v>
      </c>
      <c r="U422" s="14">
        <v>1</v>
      </c>
      <c r="V422" s="57" t="s">
        <v>649</v>
      </c>
      <c r="W422" s="14">
        <v>7</v>
      </c>
      <c r="X422" s="14">
        <v>7</v>
      </c>
      <c r="Y422" s="14">
        <v>6</v>
      </c>
      <c r="Z422" s="14">
        <v>10</v>
      </c>
      <c r="AA422" s="14">
        <v>14</v>
      </c>
      <c r="AB422" s="14">
        <v>8</v>
      </c>
      <c r="AF422" s="48" t="s">
        <v>37</v>
      </c>
      <c r="AH422" s="57" t="s">
        <v>650</v>
      </c>
      <c r="AK422" s="42">
        <v>44746</v>
      </c>
    </row>
    <row r="423" spans="1:38" hidden="1" x14ac:dyDescent="0.25">
      <c r="A423" s="47" t="s">
        <v>558</v>
      </c>
      <c r="B423" s="47" t="s">
        <v>246</v>
      </c>
      <c r="C423" s="15">
        <v>2024</v>
      </c>
      <c r="D423" s="15">
        <v>1</v>
      </c>
      <c r="E423" s="30" t="s">
        <v>37</v>
      </c>
      <c r="F423" s="30" t="s">
        <v>37</v>
      </c>
      <c r="G423" s="14">
        <f t="shared" si="68"/>
        <v>80</v>
      </c>
      <c r="H423" s="19">
        <v>21</v>
      </c>
      <c r="I423" s="19">
        <v>59</v>
      </c>
      <c r="J423" s="24">
        <f t="shared" si="69"/>
        <v>0.26250000000000001</v>
      </c>
      <c r="K423" s="14">
        <v>0.25</v>
      </c>
      <c r="L423" s="19">
        <f t="shared" si="70"/>
        <v>80</v>
      </c>
      <c r="M423" s="19">
        <f>AVERAGE(X423:Z423)</f>
        <v>8.3333333333333339</v>
      </c>
      <c r="O423" s="19">
        <v>95</v>
      </c>
      <c r="P423" s="19">
        <v>75</v>
      </c>
      <c r="Q423" s="19">
        <v>3</v>
      </c>
      <c r="W423" s="14">
        <v>6</v>
      </c>
      <c r="X423" s="14">
        <v>6</v>
      </c>
      <c r="Y423" s="14">
        <v>13</v>
      </c>
      <c r="Z423" s="14">
        <v>6</v>
      </c>
    </row>
    <row r="424" spans="1:38" hidden="1" x14ac:dyDescent="0.25">
      <c r="A424" s="21" t="s">
        <v>558</v>
      </c>
      <c r="B424" s="27" t="s">
        <v>249</v>
      </c>
      <c r="C424" s="3">
        <v>2014</v>
      </c>
      <c r="D424" s="3">
        <v>1</v>
      </c>
      <c r="E424" s="3" t="s">
        <v>37</v>
      </c>
      <c r="F424" s="3" t="s">
        <v>37</v>
      </c>
      <c r="G424" s="2">
        <v>54</v>
      </c>
      <c r="H424" s="21">
        <v>0</v>
      </c>
      <c r="I424" s="21">
        <f>G424-H424</f>
        <v>54</v>
      </c>
      <c r="J424" s="24">
        <f t="shared" si="69"/>
        <v>0</v>
      </c>
      <c r="K424" s="2">
        <v>6.25E-2</v>
      </c>
      <c r="L424" s="27">
        <f t="shared" si="70"/>
        <v>216</v>
      </c>
      <c r="M424" s="27">
        <v>4</v>
      </c>
      <c r="N424" s="27"/>
      <c r="O424" s="27">
        <v>97</v>
      </c>
      <c r="P424" s="27"/>
      <c r="Q424" s="27"/>
      <c r="R424" s="27"/>
      <c r="S424" s="27"/>
      <c r="T424" s="30"/>
      <c r="U424" s="30"/>
      <c r="V424" s="30"/>
      <c r="W424" s="30"/>
      <c r="X424" s="30"/>
      <c r="Y424" s="30"/>
      <c r="Z424" s="30"/>
      <c r="AA424" s="30"/>
      <c r="AB424" s="30"/>
      <c r="AC424" s="2"/>
      <c r="AD424" s="3" t="s">
        <v>248</v>
      </c>
      <c r="AE424" s="3">
        <v>1</v>
      </c>
      <c r="AF424" s="2">
        <v>278.57407407407408</v>
      </c>
      <c r="AG424" s="30">
        <v>11.7</v>
      </c>
      <c r="AH424" s="30"/>
      <c r="AI424" s="30"/>
      <c r="AJ424" s="30"/>
      <c r="AK424" s="30"/>
      <c r="AL424" s="30"/>
    </row>
    <row r="425" spans="1:38" hidden="1" x14ac:dyDescent="0.25">
      <c r="A425" s="21" t="s">
        <v>558</v>
      </c>
      <c r="B425" s="27" t="s">
        <v>249</v>
      </c>
      <c r="C425" s="3">
        <v>2015</v>
      </c>
      <c r="D425" s="3">
        <v>1</v>
      </c>
      <c r="E425" s="3" t="s">
        <v>37</v>
      </c>
      <c r="F425" s="3" t="s">
        <v>37</v>
      </c>
      <c r="G425" s="2">
        <v>54</v>
      </c>
      <c r="H425" s="21">
        <v>0</v>
      </c>
      <c r="I425" s="21">
        <f>G425-H425</f>
        <v>54</v>
      </c>
      <c r="J425" s="24">
        <f t="shared" si="69"/>
        <v>0</v>
      </c>
      <c r="K425" s="2">
        <v>6.25E-2</v>
      </c>
      <c r="L425" s="27">
        <f t="shared" si="70"/>
        <v>216</v>
      </c>
      <c r="M425" s="27" t="s">
        <v>37</v>
      </c>
      <c r="N425" s="27"/>
      <c r="O425" s="27" t="s">
        <v>37</v>
      </c>
      <c r="P425" s="27"/>
      <c r="Q425" s="27"/>
      <c r="R425" s="27"/>
      <c r="S425" s="27"/>
      <c r="T425" s="30"/>
      <c r="U425" s="30"/>
      <c r="V425" s="30"/>
      <c r="W425" s="30"/>
      <c r="X425" s="30"/>
      <c r="Y425" s="30"/>
      <c r="Z425" s="30"/>
      <c r="AA425" s="30"/>
      <c r="AB425" s="30"/>
      <c r="AC425" s="2"/>
      <c r="AD425" s="3" t="s">
        <v>248</v>
      </c>
      <c r="AE425" s="3">
        <v>0.61111111111111116</v>
      </c>
      <c r="AF425" s="2">
        <v>239.77777777777777</v>
      </c>
      <c r="AG425" s="30" t="s">
        <v>37</v>
      </c>
      <c r="AH425" s="30"/>
      <c r="AI425" s="30"/>
      <c r="AJ425" s="30"/>
      <c r="AK425" s="30"/>
      <c r="AL425" s="30"/>
    </row>
    <row r="426" spans="1:38" hidden="1" x14ac:dyDescent="0.25">
      <c r="A426" s="21" t="s">
        <v>558</v>
      </c>
      <c r="B426" s="27" t="s">
        <v>249</v>
      </c>
      <c r="C426" s="3">
        <v>2016</v>
      </c>
      <c r="D426" s="3">
        <v>1</v>
      </c>
      <c r="E426" s="3" t="s">
        <v>37</v>
      </c>
      <c r="F426" s="3" t="s">
        <v>37</v>
      </c>
      <c r="G426" s="25">
        <v>33</v>
      </c>
      <c r="H426" s="23">
        <v>1</v>
      </c>
      <c r="I426" s="21">
        <f>G426-H426</f>
        <v>32</v>
      </c>
      <c r="J426" s="24">
        <f t="shared" si="69"/>
        <v>3.0303030303030304E-2</v>
      </c>
      <c r="K426" s="2">
        <v>6.25E-2</v>
      </c>
      <c r="L426" s="27">
        <f t="shared" si="70"/>
        <v>132</v>
      </c>
      <c r="M426" s="27">
        <v>2.75</v>
      </c>
      <c r="N426" s="27"/>
      <c r="O426" s="27">
        <v>90</v>
      </c>
      <c r="P426" s="27"/>
      <c r="Q426" s="27"/>
      <c r="R426" s="27"/>
      <c r="S426" s="27"/>
      <c r="T426" s="30"/>
      <c r="U426" s="30"/>
      <c r="V426" s="30"/>
      <c r="W426" s="30"/>
      <c r="X426" s="30"/>
      <c r="Y426" s="30"/>
      <c r="Z426" s="30"/>
      <c r="AA426" s="30"/>
      <c r="AB426" s="30"/>
      <c r="AC426" s="2"/>
      <c r="AD426" s="3" t="s">
        <v>248</v>
      </c>
      <c r="AE426" s="3">
        <v>1.1818181818181819</v>
      </c>
      <c r="AF426" s="2">
        <v>259.36360000000002</v>
      </c>
      <c r="AG426" s="30">
        <v>26.675000000000001</v>
      </c>
      <c r="AH426" s="30"/>
      <c r="AI426" s="30"/>
      <c r="AJ426" s="30"/>
      <c r="AK426" s="30"/>
      <c r="AL426" s="30"/>
    </row>
    <row r="427" spans="1:38" hidden="1" x14ac:dyDescent="0.25">
      <c r="A427" s="21" t="s">
        <v>558</v>
      </c>
      <c r="B427" s="27" t="s">
        <v>249</v>
      </c>
      <c r="C427" s="3">
        <v>2017</v>
      </c>
      <c r="D427" s="3">
        <v>1</v>
      </c>
      <c r="E427" s="3" t="s">
        <v>37</v>
      </c>
      <c r="F427" s="3" t="s">
        <v>37</v>
      </c>
      <c r="G427" s="25">
        <v>39</v>
      </c>
      <c r="H427" s="23">
        <v>1</v>
      </c>
      <c r="I427" s="21">
        <f>G427-H427</f>
        <v>38</v>
      </c>
      <c r="J427" s="24">
        <f t="shared" si="69"/>
        <v>2.564102564102564E-2</v>
      </c>
      <c r="K427" s="2">
        <v>6.25E-2</v>
      </c>
      <c r="L427" s="27">
        <f t="shared" si="70"/>
        <v>156</v>
      </c>
      <c r="M427" s="27">
        <v>4.375</v>
      </c>
      <c r="N427" s="27"/>
      <c r="O427" s="27">
        <v>85</v>
      </c>
      <c r="P427" s="27"/>
      <c r="Q427" s="27"/>
      <c r="R427" s="27"/>
      <c r="S427" s="27"/>
      <c r="T427" s="30"/>
      <c r="U427" s="30"/>
      <c r="V427" s="30" t="s">
        <v>250</v>
      </c>
      <c r="W427" s="30"/>
      <c r="X427" s="30"/>
      <c r="Y427" s="30"/>
      <c r="Z427" s="30"/>
      <c r="AA427" s="30"/>
      <c r="AB427" s="30"/>
      <c r="AC427" s="2"/>
      <c r="AD427" s="3" t="s">
        <v>248</v>
      </c>
      <c r="AE427" s="3">
        <v>0.26923076923076922</v>
      </c>
      <c r="AF427" s="2">
        <v>280.82051282051282</v>
      </c>
      <c r="AG427" s="30">
        <v>8.4499999999999993</v>
      </c>
      <c r="AH427" s="30"/>
      <c r="AI427" s="30"/>
      <c r="AJ427" s="30"/>
      <c r="AK427" s="30"/>
      <c r="AL427" s="30"/>
    </row>
    <row r="428" spans="1:38" hidden="1" x14ac:dyDescent="0.25">
      <c r="A428" s="21" t="s">
        <v>558</v>
      </c>
      <c r="B428" s="27" t="s">
        <v>249</v>
      </c>
      <c r="C428" s="3">
        <v>2018</v>
      </c>
      <c r="D428" s="3">
        <v>1</v>
      </c>
      <c r="E428" s="3" t="s">
        <v>37</v>
      </c>
      <c r="F428" s="3" t="s">
        <v>37</v>
      </c>
      <c r="G428" s="30" t="s">
        <v>37</v>
      </c>
      <c r="H428" s="27" t="s">
        <v>37</v>
      </c>
      <c r="I428" s="27" t="s">
        <v>37</v>
      </c>
      <c r="J428" s="27" t="s">
        <v>37</v>
      </c>
      <c r="K428" s="2" t="s">
        <v>37</v>
      </c>
      <c r="L428" s="24" t="s">
        <v>37</v>
      </c>
      <c r="M428" s="27" t="s">
        <v>37</v>
      </c>
      <c r="N428" s="27"/>
      <c r="O428" s="27" t="s">
        <v>37</v>
      </c>
      <c r="P428" s="27"/>
      <c r="Q428" s="27"/>
      <c r="R428" s="27"/>
      <c r="S428" s="27"/>
      <c r="T428" s="30"/>
      <c r="U428" s="30"/>
      <c r="V428" s="30" t="s">
        <v>250</v>
      </c>
      <c r="W428" s="30"/>
      <c r="X428" s="30"/>
      <c r="Y428" s="30"/>
      <c r="Z428" s="30"/>
      <c r="AA428" s="30"/>
      <c r="AB428" s="30"/>
      <c r="AC428" s="2"/>
      <c r="AD428" s="3" t="s">
        <v>248</v>
      </c>
      <c r="AE428" s="3" t="s">
        <v>37</v>
      </c>
      <c r="AF428" s="30" t="s">
        <v>37</v>
      </c>
      <c r="AG428" s="30" t="s">
        <v>37</v>
      </c>
      <c r="AH428" s="30"/>
      <c r="AI428" s="30"/>
      <c r="AJ428" s="30"/>
      <c r="AK428" s="30"/>
      <c r="AL428" s="30"/>
    </row>
    <row r="429" spans="1:38" hidden="1" x14ac:dyDescent="0.25">
      <c r="A429" s="21" t="s">
        <v>558</v>
      </c>
      <c r="B429" s="27" t="s">
        <v>249</v>
      </c>
      <c r="C429" s="3">
        <v>2019</v>
      </c>
      <c r="D429" s="3">
        <v>1</v>
      </c>
      <c r="E429" s="3" t="s">
        <v>37</v>
      </c>
      <c r="F429" s="3" t="s">
        <v>37</v>
      </c>
      <c r="G429" s="30">
        <f t="shared" ref="G429:G434" si="71">SUM(H429:I429)</f>
        <v>42</v>
      </c>
      <c r="H429" s="27">
        <v>0</v>
      </c>
      <c r="I429" s="21">
        <v>42</v>
      </c>
      <c r="J429" s="24">
        <f t="shared" ref="J429:J438" si="72">H429/G429</f>
        <v>0</v>
      </c>
      <c r="K429" s="30">
        <v>0.25</v>
      </c>
      <c r="L429" s="27">
        <f t="shared" ref="L429:L438" si="73">G429/(K429/0.25)</f>
        <v>42</v>
      </c>
      <c r="M429" s="27">
        <f>(5+2+4+5)/4</f>
        <v>4</v>
      </c>
      <c r="N429" s="27"/>
      <c r="O429" s="27">
        <v>50</v>
      </c>
      <c r="P429" s="27">
        <v>30</v>
      </c>
      <c r="Q429" s="27"/>
      <c r="R429" s="27"/>
      <c r="S429" s="27"/>
      <c r="T429" s="30"/>
      <c r="U429" s="30"/>
      <c r="V429" s="30"/>
      <c r="W429" s="30"/>
      <c r="X429" s="30"/>
      <c r="Y429" s="30"/>
      <c r="Z429" s="30"/>
      <c r="AA429" s="30"/>
      <c r="AB429" s="30"/>
      <c r="AC429" s="2"/>
      <c r="AD429" s="3" t="s">
        <v>248</v>
      </c>
      <c r="AE429" s="3">
        <v>9.5238095238095233E-2</v>
      </c>
      <c r="AF429" s="30" t="s">
        <v>37</v>
      </c>
      <c r="AG429" s="30"/>
      <c r="AH429" s="30" t="s">
        <v>85</v>
      </c>
      <c r="AI429" s="30"/>
      <c r="AJ429" s="30"/>
      <c r="AK429" s="32">
        <v>43637</v>
      </c>
      <c r="AL429" s="30">
        <v>9</v>
      </c>
    </row>
    <row r="430" spans="1:38" hidden="1" x14ac:dyDescent="0.25">
      <c r="A430" s="21" t="s">
        <v>558</v>
      </c>
      <c r="B430" s="27" t="s">
        <v>249</v>
      </c>
      <c r="C430" s="3">
        <v>2020</v>
      </c>
      <c r="D430" s="3">
        <v>1</v>
      </c>
      <c r="E430" s="3" t="s">
        <v>37</v>
      </c>
      <c r="F430" s="3" t="s">
        <v>37</v>
      </c>
      <c r="G430" s="30">
        <f t="shared" si="71"/>
        <v>4</v>
      </c>
      <c r="H430" s="27">
        <v>0</v>
      </c>
      <c r="I430" s="21">
        <v>4</v>
      </c>
      <c r="J430" s="24">
        <f t="shared" si="72"/>
        <v>0</v>
      </c>
      <c r="K430" s="30">
        <v>0.25</v>
      </c>
      <c r="L430" s="27">
        <f t="shared" si="73"/>
        <v>4</v>
      </c>
      <c r="M430" s="27">
        <v>8.25</v>
      </c>
      <c r="N430" s="27"/>
      <c r="O430" s="27">
        <v>80</v>
      </c>
      <c r="P430" s="27">
        <v>0</v>
      </c>
      <c r="Q430" s="27"/>
      <c r="R430" s="27"/>
      <c r="S430" s="27"/>
      <c r="T430" s="30"/>
      <c r="U430" s="30"/>
      <c r="V430" s="30"/>
      <c r="W430" s="30"/>
      <c r="X430" s="30"/>
      <c r="Y430" s="30"/>
      <c r="Z430" s="30"/>
      <c r="AA430" s="30"/>
      <c r="AB430" s="30"/>
      <c r="AC430" s="2"/>
      <c r="AD430" s="3" t="s">
        <v>248</v>
      </c>
      <c r="AE430" s="3" t="s">
        <v>37</v>
      </c>
      <c r="AF430" s="30" t="s">
        <v>37</v>
      </c>
      <c r="AG430" s="30"/>
      <c r="AH430" s="30" t="s">
        <v>85</v>
      </c>
      <c r="AI430" s="30"/>
      <c r="AJ430" s="30"/>
      <c r="AK430" s="32">
        <v>43990</v>
      </c>
      <c r="AL430" s="30"/>
    </row>
    <row r="431" spans="1:38" hidden="1" x14ac:dyDescent="0.25">
      <c r="A431" s="27" t="s">
        <v>558</v>
      </c>
      <c r="B431" s="27" t="s">
        <v>249</v>
      </c>
      <c r="C431" s="34">
        <v>2021</v>
      </c>
      <c r="D431" s="3">
        <v>1</v>
      </c>
      <c r="E431" s="30" t="s">
        <v>37</v>
      </c>
      <c r="F431" s="30" t="s">
        <v>37</v>
      </c>
      <c r="G431" s="30">
        <f t="shared" si="71"/>
        <v>29</v>
      </c>
      <c r="H431" s="27">
        <v>2</v>
      </c>
      <c r="I431" s="27">
        <v>27</v>
      </c>
      <c r="J431" s="24">
        <f t="shared" si="72"/>
        <v>6.8965517241379309E-2</v>
      </c>
      <c r="K431" s="30">
        <v>0.25</v>
      </c>
      <c r="L431" s="27">
        <f t="shared" si="73"/>
        <v>29</v>
      </c>
      <c r="M431" s="27">
        <f>AVERAGE(W431:Z431)</f>
        <v>10.5</v>
      </c>
      <c r="N431" s="27"/>
      <c r="O431" s="27">
        <v>75</v>
      </c>
      <c r="P431" s="27">
        <v>2</v>
      </c>
      <c r="Q431" s="27">
        <v>25</v>
      </c>
      <c r="R431" s="27"/>
      <c r="S431" s="27"/>
      <c r="T431" s="30"/>
      <c r="U431" s="30"/>
      <c r="V431" s="30"/>
      <c r="W431" s="30">
        <v>11</v>
      </c>
      <c r="X431" s="30">
        <v>12</v>
      </c>
      <c r="Y431" s="30">
        <v>8</v>
      </c>
      <c r="Z431" s="30">
        <v>11</v>
      </c>
      <c r="AA431" s="30"/>
      <c r="AB431" s="30"/>
      <c r="AC431" s="2"/>
      <c r="AD431" s="30" t="s">
        <v>248</v>
      </c>
      <c r="AE431" s="30" t="s">
        <v>37</v>
      </c>
      <c r="AF431" s="30" t="s">
        <v>37</v>
      </c>
      <c r="AG431" s="30" t="s">
        <v>37</v>
      </c>
      <c r="AH431" s="30" t="s">
        <v>85</v>
      </c>
      <c r="AI431" s="30"/>
      <c r="AJ431" s="30"/>
      <c r="AK431" s="32">
        <v>44379</v>
      </c>
      <c r="AL431" s="30"/>
    </row>
    <row r="432" spans="1:38" hidden="1" x14ac:dyDescent="0.25">
      <c r="A432" s="47" t="s">
        <v>558</v>
      </c>
      <c r="B432" s="47" t="s">
        <v>249</v>
      </c>
      <c r="C432" s="15">
        <v>2022</v>
      </c>
      <c r="D432" s="15">
        <v>1</v>
      </c>
      <c r="E432" s="30" t="s">
        <v>37</v>
      </c>
      <c r="F432" s="30" t="s">
        <v>37</v>
      </c>
      <c r="G432" s="14">
        <f t="shared" si="71"/>
        <v>25</v>
      </c>
      <c r="H432" s="19">
        <v>1</v>
      </c>
      <c r="I432" s="19">
        <v>24</v>
      </c>
      <c r="J432" s="24">
        <f t="shared" si="72"/>
        <v>0.04</v>
      </c>
      <c r="K432" s="14">
        <v>0.25</v>
      </c>
      <c r="L432" s="19">
        <f t="shared" si="73"/>
        <v>25</v>
      </c>
      <c r="M432" s="19">
        <f>AVERAGE(W432:Z432)</f>
        <v>7</v>
      </c>
      <c r="O432" s="19">
        <v>99</v>
      </c>
      <c r="P432" s="19">
        <v>0</v>
      </c>
      <c r="Q432" s="19">
        <v>1</v>
      </c>
      <c r="R432" s="19">
        <v>0</v>
      </c>
      <c r="S432" s="47" t="s">
        <v>37</v>
      </c>
      <c r="T432" s="48" t="s">
        <v>37</v>
      </c>
      <c r="U432" s="14">
        <v>0</v>
      </c>
      <c r="W432" s="14">
        <v>9</v>
      </c>
      <c r="X432" s="14">
        <v>8</v>
      </c>
      <c r="Y432" s="14">
        <v>5</v>
      </c>
      <c r="Z432" s="14">
        <v>6</v>
      </c>
      <c r="AF432" s="48" t="s">
        <v>37</v>
      </c>
      <c r="AK432" s="42">
        <v>44746</v>
      </c>
    </row>
    <row r="433" spans="1:38" hidden="1" x14ac:dyDescent="0.25">
      <c r="A433" s="47" t="s">
        <v>558</v>
      </c>
      <c r="B433" s="47" t="s">
        <v>249</v>
      </c>
      <c r="C433" s="15">
        <v>2023</v>
      </c>
      <c r="D433" s="15">
        <v>1</v>
      </c>
      <c r="E433" s="30" t="s">
        <v>37</v>
      </c>
      <c r="F433" s="30" t="s">
        <v>37</v>
      </c>
      <c r="G433" s="14">
        <f t="shared" si="71"/>
        <v>15</v>
      </c>
      <c r="H433" s="19">
        <v>3</v>
      </c>
      <c r="I433" s="19">
        <v>12</v>
      </c>
      <c r="J433" s="24">
        <f t="shared" si="72"/>
        <v>0.2</v>
      </c>
      <c r="K433" s="14">
        <v>0.25</v>
      </c>
      <c r="L433" s="19">
        <f t="shared" si="73"/>
        <v>15</v>
      </c>
      <c r="M433" s="19">
        <f>AVERAGE(W433:Z433)</f>
        <v>5.25</v>
      </c>
      <c r="N433" s="19">
        <f>AVERAGE(AA433:AB433)</f>
        <v>7.5</v>
      </c>
      <c r="O433" s="19">
        <v>90</v>
      </c>
      <c r="P433" s="19">
        <v>1</v>
      </c>
      <c r="Q433" s="19">
        <v>10</v>
      </c>
      <c r="R433" s="19">
        <v>0.1</v>
      </c>
      <c r="S433" s="59" t="s">
        <v>651</v>
      </c>
      <c r="T433" s="57" t="s">
        <v>239</v>
      </c>
      <c r="U433" s="14">
        <v>0.1</v>
      </c>
      <c r="V433" s="57" t="s">
        <v>652</v>
      </c>
      <c r="W433" s="14">
        <v>2</v>
      </c>
      <c r="X433" s="14">
        <v>4</v>
      </c>
      <c r="Y433" s="14">
        <v>3</v>
      </c>
      <c r="Z433" s="14">
        <v>12</v>
      </c>
      <c r="AA433" s="14">
        <v>9</v>
      </c>
      <c r="AB433" s="14">
        <v>6</v>
      </c>
      <c r="AF433" s="48" t="s">
        <v>37</v>
      </c>
      <c r="AH433" s="57" t="s">
        <v>650</v>
      </c>
      <c r="AK433" s="42">
        <v>44746</v>
      </c>
    </row>
    <row r="434" spans="1:38" hidden="1" x14ac:dyDescent="0.25">
      <c r="A434" s="47" t="s">
        <v>558</v>
      </c>
      <c r="B434" s="47" t="s">
        <v>249</v>
      </c>
      <c r="C434" s="15">
        <v>2024</v>
      </c>
      <c r="D434" s="15">
        <v>1</v>
      </c>
      <c r="E434" s="30" t="s">
        <v>37</v>
      </c>
      <c r="F434" s="30" t="s">
        <v>37</v>
      </c>
      <c r="G434" s="14">
        <f t="shared" si="71"/>
        <v>52</v>
      </c>
      <c r="H434" s="19">
        <v>3</v>
      </c>
      <c r="I434" s="19">
        <v>49</v>
      </c>
      <c r="J434" s="24">
        <f t="shared" si="72"/>
        <v>5.7692307692307696E-2</v>
      </c>
      <c r="K434" s="14">
        <v>0.25</v>
      </c>
      <c r="L434" s="19">
        <f t="shared" si="73"/>
        <v>52</v>
      </c>
      <c r="M434" s="19">
        <f>AVERAGE(X434:Z434)</f>
        <v>8</v>
      </c>
      <c r="O434" s="19">
        <v>98</v>
      </c>
      <c r="P434" s="19">
        <v>1</v>
      </c>
      <c r="Q434" s="19">
        <v>2</v>
      </c>
      <c r="W434" s="14">
        <v>5</v>
      </c>
      <c r="X434" s="14">
        <v>4</v>
      </c>
      <c r="Y434" s="14">
        <v>11</v>
      </c>
      <c r="Z434" s="14">
        <v>9</v>
      </c>
    </row>
    <row r="435" spans="1:38" hidden="1" x14ac:dyDescent="0.25">
      <c r="A435" s="21" t="s">
        <v>558</v>
      </c>
      <c r="B435" s="27" t="s">
        <v>252</v>
      </c>
      <c r="C435" s="3">
        <v>2014</v>
      </c>
      <c r="D435" s="3">
        <v>1</v>
      </c>
      <c r="E435" s="3" t="s">
        <v>37</v>
      </c>
      <c r="F435" s="3" t="s">
        <v>37</v>
      </c>
      <c r="G435" s="2">
        <v>21</v>
      </c>
      <c r="H435" s="21">
        <v>4</v>
      </c>
      <c r="I435" s="21">
        <f>G435-H435</f>
        <v>17</v>
      </c>
      <c r="J435" s="24">
        <f t="shared" si="72"/>
        <v>0.19047619047619047</v>
      </c>
      <c r="K435" s="2">
        <v>0.25</v>
      </c>
      <c r="L435" s="27">
        <f t="shared" si="73"/>
        <v>21</v>
      </c>
      <c r="M435" s="27">
        <v>3</v>
      </c>
      <c r="N435" s="27"/>
      <c r="O435" s="27">
        <v>97</v>
      </c>
      <c r="P435" s="27"/>
      <c r="Q435" s="27"/>
      <c r="R435" s="27"/>
      <c r="S435" s="27"/>
      <c r="T435" s="30"/>
      <c r="U435" s="30"/>
      <c r="V435" s="30"/>
      <c r="W435" s="30"/>
      <c r="X435" s="30"/>
      <c r="Y435" s="30"/>
      <c r="Z435" s="30"/>
      <c r="AA435" s="30"/>
      <c r="AB435" s="30"/>
      <c r="AC435" s="2"/>
      <c r="AD435" s="3" t="s">
        <v>251</v>
      </c>
      <c r="AE435" s="3">
        <v>1.0476190476190477</v>
      </c>
      <c r="AF435" s="2">
        <v>486.66666666666669</v>
      </c>
      <c r="AG435" s="30">
        <v>38.6</v>
      </c>
      <c r="AH435" s="30"/>
      <c r="AI435" s="30"/>
      <c r="AJ435" s="30"/>
      <c r="AK435" s="30"/>
      <c r="AL435" s="30"/>
    </row>
    <row r="436" spans="1:38" hidden="1" x14ac:dyDescent="0.25">
      <c r="A436" s="21" t="s">
        <v>558</v>
      </c>
      <c r="B436" s="27" t="s">
        <v>252</v>
      </c>
      <c r="C436" s="3">
        <v>2015</v>
      </c>
      <c r="D436" s="3">
        <v>1</v>
      </c>
      <c r="E436" s="3" t="s">
        <v>37</v>
      </c>
      <c r="F436" s="3" t="s">
        <v>37</v>
      </c>
      <c r="G436" s="2">
        <v>22</v>
      </c>
      <c r="H436" s="21">
        <v>1</v>
      </c>
      <c r="I436" s="21">
        <f>G436-H436</f>
        <v>21</v>
      </c>
      <c r="J436" s="24">
        <f t="shared" si="72"/>
        <v>4.5454545454545456E-2</v>
      </c>
      <c r="K436" s="2">
        <v>0.25</v>
      </c>
      <c r="L436" s="27">
        <f t="shared" si="73"/>
        <v>22</v>
      </c>
      <c r="M436" s="27" t="s">
        <v>37</v>
      </c>
      <c r="N436" s="27"/>
      <c r="O436" s="27" t="s">
        <v>37</v>
      </c>
      <c r="P436" s="27"/>
      <c r="Q436" s="27"/>
      <c r="R436" s="27"/>
      <c r="S436" s="27"/>
      <c r="T436" s="30"/>
      <c r="U436" s="30"/>
      <c r="V436" s="30"/>
      <c r="W436" s="30"/>
      <c r="X436" s="30"/>
      <c r="Y436" s="30"/>
      <c r="Z436" s="30"/>
      <c r="AA436" s="30"/>
      <c r="AB436" s="30"/>
      <c r="AC436" s="2"/>
      <c r="AD436" s="3" t="s">
        <v>251</v>
      </c>
      <c r="AE436" s="3">
        <v>1.0909090909090908</v>
      </c>
      <c r="AF436" s="2">
        <v>574.4545454545455</v>
      </c>
      <c r="AG436" s="30" t="s">
        <v>37</v>
      </c>
      <c r="AH436" s="30"/>
      <c r="AI436" s="30"/>
      <c r="AJ436" s="30"/>
      <c r="AK436" s="30"/>
      <c r="AL436" s="30"/>
    </row>
    <row r="437" spans="1:38" hidden="1" x14ac:dyDescent="0.25">
      <c r="A437" s="21" t="s">
        <v>558</v>
      </c>
      <c r="B437" s="27" t="s">
        <v>252</v>
      </c>
      <c r="C437" s="3">
        <v>2016</v>
      </c>
      <c r="D437" s="3">
        <v>1</v>
      </c>
      <c r="E437" s="3" t="s">
        <v>37</v>
      </c>
      <c r="F437" s="3" t="s">
        <v>37</v>
      </c>
      <c r="G437" s="25">
        <v>24</v>
      </c>
      <c r="H437" s="23">
        <v>4</v>
      </c>
      <c r="I437" s="21">
        <f>G437-H437</f>
        <v>20</v>
      </c>
      <c r="J437" s="24">
        <f t="shared" si="72"/>
        <v>0.16666666666666666</v>
      </c>
      <c r="K437" s="2">
        <v>0.25</v>
      </c>
      <c r="L437" s="27">
        <f t="shared" si="73"/>
        <v>24</v>
      </c>
      <c r="M437" s="27">
        <v>4.125</v>
      </c>
      <c r="N437" s="27"/>
      <c r="O437" s="27">
        <v>100</v>
      </c>
      <c r="P437" s="27"/>
      <c r="Q437" s="27"/>
      <c r="R437" s="27"/>
      <c r="S437" s="27"/>
      <c r="T437" s="30"/>
      <c r="U437" s="30"/>
      <c r="V437" s="30"/>
      <c r="W437" s="30"/>
      <c r="X437" s="30"/>
      <c r="Y437" s="30"/>
      <c r="Z437" s="30"/>
      <c r="AA437" s="30"/>
      <c r="AB437" s="30"/>
      <c r="AC437" s="2"/>
      <c r="AD437" s="3" t="s">
        <v>251</v>
      </c>
      <c r="AE437" s="3">
        <v>1</v>
      </c>
      <c r="AF437" s="2">
        <v>556.16669999999999</v>
      </c>
      <c r="AG437" s="30">
        <v>54.075000000000003</v>
      </c>
      <c r="AH437" s="30"/>
      <c r="AI437" s="30"/>
      <c r="AJ437" s="30"/>
      <c r="AK437" s="30"/>
      <c r="AL437" s="30"/>
    </row>
    <row r="438" spans="1:38" hidden="1" x14ac:dyDescent="0.25">
      <c r="A438" s="21" t="s">
        <v>558</v>
      </c>
      <c r="B438" s="27" t="s">
        <v>252</v>
      </c>
      <c r="C438" s="3">
        <v>2017</v>
      </c>
      <c r="D438" s="3">
        <v>1</v>
      </c>
      <c r="E438" s="3" t="s">
        <v>37</v>
      </c>
      <c r="F438" s="3" t="s">
        <v>37</v>
      </c>
      <c r="G438" s="25">
        <v>24</v>
      </c>
      <c r="H438" s="23">
        <v>3</v>
      </c>
      <c r="I438" s="21">
        <f>G438-H438</f>
        <v>21</v>
      </c>
      <c r="J438" s="24">
        <f t="shared" si="72"/>
        <v>0.125</v>
      </c>
      <c r="K438" s="2">
        <v>0.25</v>
      </c>
      <c r="L438" s="27">
        <f t="shared" si="73"/>
        <v>24</v>
      </c>
      <c r="M438" s="27">
        <v>14.125</v>
      </c>
      <c r="N438" s="27"/>
      <c r="O438" s="27">
        <v>100</v>
      </c>
      <c r="P438" s="27"/>
      <c r="Q438" s="27"/>
      <c r="R438" s="27"/>
      <c r="S438" s="27"/>
      <c r="T438" s="30"/>
      <c r="U438" s="30"/>
      <c r="V438" s="30"/>
      <c r="W438" s="30"/>
      <c r="X438" s="30"/>
      <c r="Y438" s="30"/>
      <c r="Z438" s="30"/>
      <c r="AA438" s="30"/>
      <c r="AB438" s="30"/>
      <c r="AC438" s="2"/>
      <c r="AD438" s="3" t="s">
        <v>251</v>
      </c>
      <c r="AE438" s="3">
        <v>0.33333333333333331</v>
      </c>
      <c r="AF438" s="2">
        <v>670.375</v>
      </c>
      <c r="AG438" s="30">
        <v>14.125</v>
      </c>
      <c r="AH438" s="30"/>
      <c r="AI438" s="30"/>
      <c r="AJ438" s="30"/>
      <c r="AK438" s="30"/>
      <c r="AL438" s="30"/>
    </row>
    <row r="439" spans="1:38" hidden="1" x14ac:dyDescent="0.25">
      <c r="A439" s="21" t="s">
        <v>558</v>
      </c>
      <c r="B439" s="27" t="s">
        <v>252</v>
      </c>
      <c r="C439" s="3">
        <v>2018</v>
      </c>
      <c r="D439" s="3">
        <v>1</v>
      </c>
      <c r="E439" s="3" t="s">
        <v>37</v>
      </c>
      <c r="F439" s="3" t="s">
        <v>37</v>
      </c>
      <c r="G439" s="30" t="s">
        <v>37</v>
      </c>
      <c r="H439" s="27" t="s">
        <v>37</v>
      </c>
      <c r="I439" s="27" t="s">
        <v>37</v>
      </c>
      <c r="J439" s="27" t="s">
        <v>37</v>
      </c>
      <c r="K439" s="2" t="s">
        <v>37</v>
      </c>
      <c r="L439" s="24" t="s">
        <v>37</v>
      </c>
      <c r="M439" s="27" t="s">
        <v>37</v>
      </c>
      <c r="N439" s="27"/>
      <c r="O439" s="27" t="s">
        <v>37</v>
      </c>
      <c r="P439" s="27"/>
      <c r="Q439" s="27"/>
      <c r="R439" s="27"/>
      <c r="S439" s="27"/>
      <c r="T439" s="30"/>
      <c r="U439" s="30"/>
      <c r="V439" s="30"/>
      <c r="W439" s="30"/>
      <c r="X439" s="30"/>
      <c r="Y439" s="30"/>
      <c r="Z439" s="30"/>
      <c r="AA439" s="30"/>
      <c r="AB439" s="30"/>
      <c r="AC439" s="2"/>
      <c r="AD439" s="3" t="s">
        <v>251</v>
      </c>
      <c r="AE439" s="3" t="s">
        <v>37</v>
      </c>
      <c r="AF439" s="30" t="s">
        <v>37</v>
      </c>
      <c r="AG439" s="30" t="s">
        <v>37</v>
      </c>
      <c r="AH439" s="30"/>
      <c r="AI439" s="30"/>
      <c r="AJ439" s="30"/>
      <c r="AK439" s="30"/>
      <c r="AL439" s="30"/>
    </row>
    <row r="440" spans="1:38" hidden="1" x14ac:dyDescent="0.25">
      <c r="A440" s="21" t="s">
        <v>558</v>
      </c>
      <c r="B440" s="27" t="s">
        <v>252</v>
      </c>
      <c r="C440" s="3">
        <v>2019</v>
      </c>
      <c r="D440" s="3">
        <v>1</v>
      </c>
      <c r="E440" s="3" t="s">
        <v>37</v>
      </c>
      <c r="F440" s="3" t="s">
        <v>37</v>
      </c>
      <c r="G440" s="30">
        <f>SUM(H440:I440)</f>
        <v>8</v>
      </c>
      <c r="H440" s="27">
        <v>2</v>
      </c>
      <c r="I440" s="21">
        <v>6</v>
      </c>
      <c r="J440" s="24">
        <f>H440/G440</f>
        <v>0.25</v>
      </c>
      <c r="K440" s="30">
        <v>0.25</v>
      </c>
      <c r="L440" s="27">
        <f>G440/(K440/0.25)</f>
        <v>8</v>
      </c>
      <c r="M440" s="27">
        <f>(9+10+23+19)/4</f>
        <v>15.25</v>
      </c>
      <c r="N440" s="27"/>
      <c r="O440" s="27">
        <v>90</v>
      </c>
      <c r="P440" s="27">
        <v>5</v>
      </c>
      <c r="Q440" s="27"/>
      <c r="R440" s="27"/>
      <c r="S440" s="27"/>
      <c r="T440" s="30"/>
      <c r="U440" s="30"/>
      <c r="V440" s="30"/>
      <c r="W440" s="30"/>
      <c r="X440" s="30"/>
      <c r="Y440" s="30"/>
      <c r="Z440" s="30"/>
      <c r="AA440" s="30"/>
      <c r="AB440" s="30"/>
      <c r="AC440" s="2"/>
      <c r="AD440" s="3" t="s">
        <v>251</v>
      </c>
      <c r="AE440" s="3" t="s">
        <v>37</v>
      </c>
      <c r="AF440" s="30" t="s">
        <v>37</v>
      </c>
      <c r="AG440" s="30"/>
      <c r="AH440" s="30" t="s">
        <v>85</v>
      </c>
      <c r="AI440" s="30"/>
      <c r="AJ440" s="30"/>
      <c r="AK440" s="32">
        <v>43637</v>
      </c>
      <c r="AL440" s="30">
        <v>10</v>
      </c>
    </row>
    <row r="441" spans="1:38" hidden="1" x14ac:dyDescent="0.25">
      <c r="A441" s="21" t="s">
        <v>558</v>
      </c>
      <c r="B441" s="27" t="s">
        <v>252</v>
      </c>
      <c r="C441" s="3">
        <v>2020</v>
      </c>
      <c r="D441" s="3">
        <v>1</v>
      </c>
      <c r="E441" s="3" t="s">
        <v>37</v>
      </c>
      <c r="F441" s="3" t="s">
        <v>37</v>
      </c>
      <c r="G441" s="30" t="s">
        <v>37</v>
      </c>
      <c r="H441" s="27" t="s">
        <v>37</v>
      </c>
      <c r="I441" s="27" t="s">
        <v>37</v>
      </c>
      <c r="J441" s="27" t="s">
        <v>37</v>
      </c>
      <c r="K441" s="30">
        <v>0.25</v>
      </c>
      <c r="L441" s="27" t="s">
        <v>37</v>
      </c>
      <c r="M441" s="27" t="s">
        <v>37</v>
      </c>
      <c r="N441" s="27"/>
      <c r="O441" s="27" t="s">
        <v>37</v>
      </c>
      <c r="P441" s="27" t="s">
        <v>37</v>
      </c>
      <c r="Q441" s="27"/>
      <c r="R441" s="27"/>
      <c r="S441" s="27"/>
      <c r="T441" s="30"/>
      <c r="U441" s="30"/>
      <c r="V441" s="30"/>
      <c r="W441" s="30"/>
      <c r="X441" s="30"/>
      <c r="Y441" s="30"/>
      <c r="Z441" s="30"/>
      <c r="AA441" s="30"/>
      <c r="AB441" s="30"/>
      <c r="AC441" s="2"/>
      <c r="AD441" s="3" t="s">
        <v>251</v>
      </c>
      <c r="AE441" s="3" t="s">
        <v>37</v>
      </c>
      <c r="AF441" s="30" t="s">
        <v>37</v>
      </c>
      <c r="AG441" s="30"/>
      <c r="AH441" s="30" t="s">
        <v>85</v>
      </c>
      <c r="AI441" s="30"/>
      <c r="AJ441" s="30"/>
      <c r="AK441" s="32">
        <v>43990</v>
      </c>
      <c r="AL441" s="30"/>
    </row>
    <row r="442" spans="1:38" hidden="1" x14ac:dyDescent="0.25">
      <c r="A442" s="27" t="s">
        <v>558</v>
      </c>
      <c r="B442" s="27" t="s">
        <v>252</v>
      </c>
      <c r="C442" s="34">
        <v>2021</v>
      </c>
      <c r="D442" s="3">
        <v>1</v>
      </c>
      <c r="E442" s="30" t="s">
        <v>37</v>
      </c>
      <c r="F442" s="30" t="s">
        <v>37</v>
      </c>
      <c r="G442" s="30">
        <f>SUM(H442:I442)</f>
        <v>10</v>
      </c>
      <c r="H442" s="27">
        <v>4</v>
      </c>
      <c r="I442" s="27">
        <v>6</v>
      </c>
      <c r="J442" s="24">
        <f>H442/G442</f>
        <v>0.4</v>
      </c>
      <c r="K442" s="30">
        <v>0.25</v>
      </c>
      <c r="L442" s="27">
        <f t="shared" ref="L442:L449" si="74">G442/(K442/0.25)</f>
        <v>10</v>
      </c>
      <c r="M442" s="27">
        <f>AVERAGE(W442:Z442)</f>
        <v>23.25</v>
      </c>
      <c r="N442" s="27"/>
      <c r="O442" s="27">
        <v>95</v>
      </c>
      <c r="P442" s="27">
        <v>0</v>
      </c>
      <c r="Q442" s="27">
        <v>15</v>
      </c>
      <c r="R442" s="27">
        <v>1</v>
      </c>
      <c r="S442" s="27" t="s">
        <v>102</v>
      </c>
      <c r="T442" s="30"/>
      <c r="U442" s="30"/>
      <c r="V442" s="30"/>
      <c r="W442" s="30">
        <v>21</v>
      </c>
      <c r="X442" s="30">
        <v>21</v>
      </c>
      <c r="Y442" s="30">
        <v>28</v>
      </c>
      <c r="Z442" s="30">
        <v>23</v>
      </c>
      <c r="AA442" s="30"/>
      <c r="AB442" s="30"/>
      <c r="AC442" s="2"/>
      <c r="AD442" s="30" t="s">
        <v>251</v>
      </c>
      <c r="AE442" s="30" t="s">
        <v>37</v>
      </c>
      <c r="AF442" s="30" t="s">
        <v>37</v>
      </c>
      <c r="AG442" s="30" t="s">
        <v>37</v>
      </c>
      <c r="AH442" s="30" t="s">
        <v>85</v>
      </c>
      <c r="AI442" s="30"/>
      <c r="AJ442" s="30"/>
      <c r="AK442" s="32">
        <v>44379</v>
      </c>
      <c r="AL442" s="30"/>
    </row>
    <row r="443" spans="1:38" hidden="1" x14ac:dyDescent="0.25">
      <c r="A443" s="47" t="s">
        <v>558</v>
      </c>
      <c r="B443" s="47" t="s">
        <v>252</v>
      </c>
      <c r="C443" s="15">
        <v>2022</v>
      </c>
      <c r="D443" s="15">
        <v>1</v>
      </c>
      <c r="E443" s="30" t="s">
        <v>37</v>
      </c>
      <c r="F443" s="30" t="s">
        <v>37</v>
      </c>
      <c r="G443" s="14">
        <f>SUM(H443:I443)</f>
        <v>0</v>
      </c>
      <c r="H443" s="19">
        <v>0</v>
      </c>
      <c r="I443" s="19">
        <v>0</v>
      </c>
      <c r="J443" s="24" t="s">
        <v>37</v>
      </c>
      <c r="K443" s="14">
        <v>0.25</v>
      </c>
      <c r="L443" s="19">
        <f t="shared" si="74"/>
        <v>0</v>
      </c>
      <c r="M443" s="19">
        <f>AVERAGE(W443:Z443)</f>
        <v>11.5</v>
      </c>
      <c r="O443" s="19">
        <v>98</v>
      </c>
      <c r="P443" s="19">
        <v>7</v>
      </c>
      <c r="Q443" s="19">
        <v>8</v>
      </c>
      <c r="R443" s="19">
        <v>0</v>
      </c>
      <c r="S443" s="47" t="s">
        <v>37</v>
      </c>
      <c r="T443" s="48" t="s">
        <v>37</v>
      </c>
      <c r="U443" s="14">
        <v>0</v>
      </c>
      <c r="W443" s="14">
        <v>14</v>
      </c>
      <c r="X443" s="14">
        <v>8</v>
      </c>
      <c r="Y443" s="14">
        <v>15</v>
      </c>
      <c r="Z443" s="14">
        <v>9</v>
      </c>
      <c r="AF443" s="48" t="s">
        <v>37</v>
      </c>
      <c r="AK443" s="42">
        <v>44746</v>
      </c>
    </row>
    <row r="444" spans="1:38" hidden="1" x14ac:dyDescent="0.25">
      <c r="A444" s="47" t="s">
        <v>558</v>
      </c>
      <c r="B444" s="47" t="s">
        <v>252</v>
      </c>
      <c r="C444" s="15">
        <v>2023</v>
      </c>
      <c r="D444" s="15">
        <v>1</v>
      </c>
      <c r="E444" s="30" t="s">
        <v>37</v>
      </c>
      <c r="F444" s="30" t="s">
        <v>37</v>
      </c>
      <c r="G444" s="14">
        <f>SUM(H444:I444)</f>
        <v>8</v>
      </c>
      <c r="H444" s="19">
        <v>0</v>
      </c>
      <c r="I444" s="19">
        <v>8</v>
      </c>
      <c r="J444" s="24">
        <f t="shared" ref="J444:J449" si="75">H444/G444</f>
        <v>0</v>
      </c>
      <c r="K444" s="14">
        <v>0.25</v>
      </c>
      <c r="L444" s="19">
        <f t="shared" si="74"/>
        <v>8</v>
      </c>
      <c r="M444" s="19">
        <f>AVERAGE(W444:Z444)</f>
        <v>9.75</v>
      </c>
      <c r="N444" s="19">
        <f>AVERAGE(AA444:AB444)</f>
        <v>14</v>
      </c>
      <c r="O444" s="19">
        <v>95</v>
      </c>
      <c r="P444" s="19">
        <v>0</v>
      </c>
      <c r="Q444" s="19">
        <v>10</v>
      </c>
      <c r="R444" s="19">
        <v>4</v>
      </c>
      <c r="S444" s="59" t="s">
        <v>102</v>
      </c>
      <c r="T444" s="57" t="s">
        <v>506</v>
      </c>
      <c r="U444" s="14">
        <v>1</v>
      </c>
      <c r="W444" s="14">
        <v>6</v>
      </c>
      <c r="X444" s="14">
        <v>10</v>
      </c>
      <c r="Y444" s="14">
        <v>10</v>
      </c>
      <c r="Z444" s="14">
        <v>13</v>
      </c>
      <c r="AA444" s="14">
        <v>16</v>
      </c>
      <c r="AB444" s="14">
        <v>12</v>
      </c>
      <c r="AF444" s="48" t="s">
        <v>37</v>
      </c>
      <c r="AH444" s="57" t="s">
        <v>650</v>
      </c>
      <c r="AK444" s="42">
        <v>44746</v>
      </c>
    </row>
    <row r="445" spans="1:38" hidden="1" x14ac:dyDescent="0.25">
      <c r="A445" s="47" t="s">
        <v>558</v>
      </c>
      <c r="B445" s="47" t="s">
        <v>252</v>
      </c>
      <c r="C445" s="15">
        <v>2024</v>
      </c>
      <c r="D445" s="15">
        <v>1</v>
      </c>
      <c r="E445" s="30" t="s">
        <v>37</v>
      </c>
      <c r="F445" s="30" t="s">
        <v>37</v>
      </c>
      <c r="G445" s="14">
        <f>SUM(H445:I445)</f>
        <v>19</v>
      </c>
      <c r="H445" s="19">
        <v>4</v>
      </c>
      <c r="I445" s="19">
        <v>15</v>
      </c>
      <c r="J445" s="24">
        <f t="shared" si="75"/>
        <v>0.21052631578947367</v>
      </c>
      <c r="K445" s="14">
        <v>0.25</v>
      </c>
      <c r="L445" s="19">
        <f t="shared" si="74"/>
        <v>19</v>
      </c>
      <c r="M445" s="19">
        <f>AVERAGE(X445:Z445)</f>
        <v>11.333333333333334</v>
      </c>
      <c r="O445" s="19">
        <v>100</v>
      </c>
      <c r="P445" s="19">
        <v>0</v>
      </c>
      <c r="Q445" s="19">
        <v>2</v>
      </c>
      <c r="W445" s="14">
        <v>20</v>
      </c>
      <c r="X445" s="14">
        <v>14</v>
      </c>
      <c r="Y445" s="14">
        <v>10</v>
      </c>
      <c r="Z445" s="14">
        <v>10</v>
      </c>
    </row>
    <row r="446" spans="1:38" hidden="1" x14ac:dyDescent="0.25">
      <c r="A446" s="21" t="s">
        <v>558</v>
      </c>
      <c r="B446" s="27" t="s">
        <v>254</v>
      </c>
      <c r="C446" s="3">
        <v>2014</v>
      </c>
      <c r="D446" s="3">
        <v>1</v>
      </c>
      <c r="E446" s="3" t="s">
        <v>37</v>
      </c>
      <c r="F446" s="3" t="s">
        <v>37</v>
      </c>
      <c r="G446" s="2">
        <v>2</v>
      </c>
      <c r="H446" s="21">
        <v>0</v>
      </c>
      <c r="I446" s="21">
        <f>G446-H446</f>
        <v>2</v>
      </c>
      <c r="J446" s="24">
        <f t="shared" si="75"/>
        <v>0</v>
      </c>
      <c r="K446" s="2">
        <v>0.25</v>
      </c>
      <c r="L446" s="27">
        <f t="shared" si="74"/>
        <v>2</v>
      </c>
      <c r="M446" s="27">
        <v>5</v>
      </c>
      <c r="N446" s="27"/>
      <c r="O446" s="27">
        <v>97</v>
      </c>
      <c r="P446" s="27"/>
      <c r="Q446" s="27"/>
      <c r="R446" s="27"/>
      <c r="S446" s="27"/>
      <c r="T446" s="30"/>
      <c r="U446" s="30"/>
      <c r="V446" s="30"/>
      <c r="W446" s="30"/>
      <c r="X446" s="30"/>
      <c r="Y446" s="30"/>
      <c r="Z446" s="30"/>
      <c r="AA446" s="30"/>
      <c r="AB446" s="30"/>
      <c r="AC446" s="2"/>
      <c r="AD446" s="3" t="s">
        <v>253</v>
      </c>
      <c r="AE446" s="3">
        <v>1</v>
      </c>
      <c r="AF446" s="2">
        <v>1081.5</v>
      </c>
      <c r="AG446" s="30">
        <v>18</v>
      </c>
      <c r="AH446" s="30"/>
      <c r="AI446" s="30"/>
      <c r="AJ446" s="30"/>
      <c r="AK446" s="30"/>
      <c r="AL446" s="30"/>
    </row>
    <row r="447" spans="1:38" hidden="1" x14ac:dyDescent="0.25">
      <c r="A447" s="21" t="s">
        <v>558</v>
      </c>
      <c r="B447" s="27" t="s">
        <v>254</v>
      </c>
      <c r="C447" s="3">
        <v>2015</v>
      </c>
      <c r="D447" s="3">
        <v>1</v>
      </c>
      <c r="E447" s="3" t="s">
        <v>37</v>
      </c>
      <c r="F447" s="3" t="s">
        <v>37</v>
      </c>
      <c r="G447" s="2">
        <v>2</v>
      </c>
      <c r="H447" s="21">
        <v>0</v>
      </c>
      <c r="I447" s="21">
        <f>G447-H447</f>
        <v>2</v>
      </c>
      <c r="J447" s="24">
        <f t="shared" si="75"/>
        <v>0</v>
      </c>
      <c r="K447" s="2">
        <v>0.25</v>
      </c>
      <c r="L447" s="27">
        <f t="shared" si="74"/>
        <v>2</v>
      </c>
      <c r="M447" s="27" t="s">
        <v>37</v>
      </c>
      <c r="N447" s="27"/>
      <c r="O447" s="27" t="s">
        <v>37</v>
      </c>
      <c r="P447" s="27"/>
      <c r="Q447" s="27"/>
      <c r="R447" s="27"/>
      <c r="S447" s="27"/>
      <c r="T447" s="30"/>
      <c r="U447" s="30"/>
      <c r="V447" s="30"/>
      <c r="W447" s="30"/>
      <c r="X447" s="30"/>
      <c r="Y447" s="30"/>
      <c r="Z447" s="30"/>
      <c r="AA447" s="30"/>
      <c r="AB447" s="30"/>
      <c r="AC447" s="2"/>
      <c r="AD447" s="3" t="s">
        <v>253</v>
      </c>
      <c r="AE447" s="3">
        <v>5.5</v>
      </c>
      <c r="AF447" s="2">
        <v>806</v>
      </c>
      <c r="AG447" s="30" t="s">
        <v>37</v>
      </c>
      <c r="AH447" s="30"/>
      <c r="AI447" s="30"/>
      <c r="AJ447" s="30"/>
      <c r="AK447" s="30"/>
      <c r="AL447" s="30"/>
    </row>
    <row r="448" spans="1:38" hidden="1" x14ac:dyDescent="0.25">
      <c r="A448" s="21" t="s">
        <v>558</v>
      </c>
      <c r="B448" s="27" t="s">
        <v>254</v>
      </c>
      <c r="C448" s="3">
        <v>2016</v>
      </c>
      <c r="D448" s="3">
        <v>1</v>
      </c>
      <c r="E448" s="3" t="s">
        <v>37</v>
      </c>
      <c r="F448" s="3" t="s">
        <v>37</v>
      </c>
      <c r="G448" s="25">
        <v>11</v>
      </c>
      <c r="H448" s="23">
        <v>3</v>
      </c>
      <c r="I448" s="21">
        <f>G448-H448</f>
        <v>8</v>
      </c>
      <c r="J448" s="24">
        <f t="shared" si="75"/>
        <v>0.27272727272727271</v>
      </c>
      <c r="K448" s="2">
        <v>0.25</v>
      </c>
      <c r="L448" s="27">
        <f t="shared" si="74"/>
        <v>11</v>
      </c>
      <c r="M448" s="27">
        <v>2.25</v>
      </c>
      <c r="N448" s="27"/>
      <c r="O448" s="27">
        <v>90</v>
      </c>
      <c r="P448" s="27"/>
      <c r="Q448" s="27"/>
      <c r="R448" s="27"/>
      <c r="S448" s="27"/>
      <c r="T448" s="30"/>
      <c r="U448" s="30"/>
      <c r="V448" s="30" t="s">
        <v>250</v>
      </c>
      <c r="W448" s="30"/>
      <c r="X448" s="30"/>
      <c r="Y448" s="30"/>
      <c r="Z448" s="30"/>
      <c r="AA448" s="30"/>
      <c r="AB448" s="30"/>
      <c r="AC448" s="2"/>
      <c r="AD448" s="3" t="s">
        <v>253</v>
      </c>
      <c r="AE448" s="3">
        <v>0.63636363636363635</v>
      </c>
      <c r="AF448" s="2">
        <v>580.54545450000001</v>
      </c>
      <c r="AG448" s="30">
        <v>54.024999999999999</v>
      </c>
      <c r="AH448" s="30"/>
      <c r="AI448" s="30"/>
      <c r="AJ448" s="30"/>
      <c r="AK448" s="30"/>
      <c r="AL448" s="30"/>
    </row>
    <row r="449" spans="1:38" hidden="1" x14ac:dyDescent="0.25">
      <c r="A449" s="21" t="s">
        <v>558</v>
      </c>
      <c r="B449" s="27" t="s">
        <v>254</v>
      </c>
      <c r="C449" s="3">
        <v>2017</v>
      </c>
      <c r="D449" s="3">
        <v>1</v>
      </c>
      <c r="E449" s="3" t="s">
        <v>37</v>
      </c>
      <c r="F449" s="3" t="s">
        <v>37</v>
      </c>
      <c r="G449" s="25">
        <v>7</v>
      </c>
      <c r="H449" s="23">
        <v>0</v>
      </c>
      <c r="I449" s="21">
        <f>G449-H449</f>
        <v>7</v>
      </c>
      <c r="J449" s="24">
        <f t="shared" si="75"/>
        <v>0</v>
      </c>
      <c r="K449" s="2">
        <v>0.25</v>
      </c>
      <c r="L449" s="27">
        <f t="shared" si="74"/>
        <v>7</v>
      </c>
      <c r="M449" s="27">
        <v>5.875</v>
      </c>
      <c r="N449" s="27"/>
      <c r="O449" s="27">
        <v>95</v>
      </c>
      <c r="P449" s="27"/>
      <c r="Q449" s="27"/>
      <c r="R449" s="27"/>
      <c r="S449" s="27"/>
      <c r="T449" s="30"/>
      <c r="U449" s="30"/>
      <c r="V449" s="30" t="s">
        <v>250</v>
      </c>
      <c r="W449" s="30"/>
      <c r="X449" s="30"/>
      <c r="Y449" s="30"/>
      <c r="Z449" s="30"/>
      <c r="AA449" s="30"/>
      <c r="AB449" s="30"/>
      <c r="AC449" s="2"/>
      <c r="AD449" s="3" t="s">
        <v>253</v>
      </c>
      <c r="AE449" s="3" t="s">
        <v>37</v>
      </c>
      <c r="AF449" s="2">
        <v>526.28571428571433</v>
      </c>
      <c r="AG449" s="30">
        <v>18.5</v>
      </c>
      <c r="AH449" s="30"/>
      <c r="AI449" s="30"/>
      <c r="AJ449" s="30"/>
      <c r="AK449" s="30"/>
      <c r="AL449" s="30"/>
    </row>
    <row r="450" spans="1:38" hidden="1" x14ac:dyDescent="0.25">
      <c r="A450" s="21" t="s">
        <v>558</v>
      </c>
      <c r="B450" s="27" t="s">
        <v>254</v>
      </c>
      <c r="C450" s="3">
        <v>2018</v>
      </c>
      <c r="D450" s="3">
        <v>1</v>
      </c>
      <c r="E450" s="3" t="s">
        <v>37</v>
      </c>
      <c r="F450" s="3" t="s">
        <v>37</v>
      </c>
      <c r="G450" s="30" t="s">
        <v>37</v>
      </c>
      <c r="H450" s="27" t="s">
        <v>37</v>
      </c>
      <c r="I450" s="27" t="s">
        <v>37</v>
      </c>
      <c r="J450" s="27" t="s">
        <v>37</v>
      </c>
      <c r="K450" s="2" t="s">
        <v>37</v>
      </c>
      <c r="L450" s="24" t="s">
        <v>37</v>
      </c>
      <c r="M450" s="27" t="s">
        <v>37</v>
      </c>
      <c r="N450" s="27"/>
      <c r="O450" s="27" t="s">
        <v>37</v>
      </c>
      <c r="P450" s="27"/>
      <c r="Q450" s="27"/>
      <c r="R450" s="27"/>
      <c r="S450" s="27"/>
      <c r="T450" s="30"/>
      <c r="U450" s="30"/>
      <c r="V450" s="30"/>
      <c r="W450" s="30"/>
      <c r="X450" s="30"/>
      <c r="Y450" s="30"/>
      <c r="Z450" s="30"/>
      <c r="AA450" s="30"/>
      <c r="AB450" s="30"/>
      <c r="AC450" s="2"/>
      <c r="AD450" s="3" t="s">
        <v>253</v>
      </c>
      <c r="AE450" s="3" t="s">
        <v>37</v>
      </c>
      <c r="AF450" s="30" t="s">
        <v>37</v>
      </c>
      <c r="AG450" s="30" t="s">
        <v>37</v>
      </c>
      <c r="AH450" s="30"/>
      <c r="AI450" s="30"/>
      <c r="AJ450" s="30"/>
      <c r="AK450" s="30"/>
      <c r="AL450" s="30"/>
    </row>
    <row r="451" spans="1:38" hidden="1" x14ac:dyDescent="0.25">
      <c r="A451" s="21" t="s">
        <v>558</v>
      </c>
      <c r="B451" s="27" t="s">
        <v>254</v>
      </c>
      <c r="C451" s="3">
        <v>2019</v>
      </c>
      <c r="D451" s="3">
        <v>1</v>
      </c>
      <c r="E451" s="3" t="s">
        <v>37</v>
      </c>
      <c r="F451" s="3" t="s">
        <v>37</v>
      </c>
      <c r="G451" s="30">
        <f t="shared" ref="G451:G456" si="76">SUM(H451:I451)</f>
        <v>0</v>
      </c>
      <c r="H451" s="27">
        <v>0</v>
      </c>
      <c r="I451" s="21">
        <v>0</v>
      </c>
      <c r="J451" s="24" t="s">
        <v>37</v>
      </c>
      <c r="K451" s="30">
        <v>0.25</v>
      </c>
      <c r="L451" s="27">
        <f t="shared" ref="L451:L460" si="77">G451/(K451/0.25)</f>
        <v>0</v>
      </c>
      <c r="M451" s="27">
        <f>(14+13+12+20)/4</f>
        <v>14.75</v>
      </c>
      <c r="N451" s="27"/>
      <c r="O451" s="27">
        <v>95</v>
      </c>
      <c r="P451" s="27">
        <v>5</v>
      </c>
      <c r="Q451" s="27"/>
      <c r="R451" s="27"/>
      <c r="S451" s="27"/>
      <c r="T451" s="30"/>
      <c r="U451" s="30"/>
      <c r="V451" s="30" t="s">
        <v>250</v>
      </c>
      <c r="W451" s="30"/>
      <c r="X451" s="30"/>
      <c r="Y451" s="30"/>
      <c r="Z451" s="30"/>
      <c r="AA451" s="30"/>
      <c r="AB451" s="30"/>
      <c r="AC451" s="2"/>
      <c r="AD451" s="3" t="s">
        <v>253</v>
      </c>
      <c r="AE451" s="3" t="s">
        <v>37</v>
      </c>
      <c r="AF451" s="30" t="s">
        <v>37</v>
      </c>
      <c r="AG451" s="30"/>
      <c r="AH451" s="30" t="s">
        <v>85</v>
      </c>
      <c r="AI451" s="30"/>
      <c r="AJ451" s="30"/>
      <c r="AK451" s="32">
        <v>43637</v>
      </c>
      <c r="AL451" s="30">
        <v>11</v>
      </c>
    </row>
    <row r="452" spans="1:38" hidden="1" x14ac:dyDescent="0.25">
      <c r="A452" s="21" t="s">
        <v>558</v>
      </c>
      <c r="B452" s="27" t="s">
        <v>254</v>
      </c>
      <c r="C452" s="3">
        <v>2020</v>
      </c>
      <c r="D452" s="3">
        <v>1</v>
      </c>
      <c r="E452" s="3" t="s">
        <v>37</v>
      </c>
      <c r="F452" s="3" t="s">
        <v>37</v>
      </c>
      <c r="G452" s="30">
        <f t="shared" si="76"/>
        <v>0</v>
      </c>
      <c r="H452" s="27">
        <v>0</v>
      </c>
      <c r="I452" s="21">
        <v>0</v>
      </c>
      <c r="J452" s="24" t="s">
        <v>37</v>
      </c>
      <c r="K452" s="30">
        <v>0.25</v>
      </c>
      <c r="L452" s="27">
        <f t="shared" si="77"/>
        <v>0</v>
      </c>
      <c r="M452" s="27">
        <v>23</v>
      </c>
      <c r="N452" s="27"/>
      <c r="O452" s="27">
        <v>100</v>
      </c>
      <c r="P452" s="27">
        <v>0</v>
      </c>
      <c r="Q452" s="27"/>
      <c r="R452" s="27"/>
      <c r="S452" s="27"/>
      <c r="T452" s="30"/>
      <c r="U452" s="30"/>
      <c r="V452" s="30"/>
      <c r="W452" s="30"/>
      <c r="X452" s="30"/>
      <c r="Y452" s="30"/>
      <c r="Z452" s="30"/>
      <c r="AA452" s="30"/>
      <c r="AB452" s="30"/>
      <c r="AC452" s="2"/>
      <c r="AD452" s="3" t="s">
        <v>253</v>
      </c>
      <c r="AE452" s="3" t="s">
        <v>37</v>
      </c>
      <c r="AF452" s="30" t="s">
        <v>37</v>
      </c>
      <c r="AG452" s="30"/>
      <c r="AH452" s="30" t="s">
        <v>85</v>
      </c>
      <c r="AI452" s="30"/>
      <c r="AJ452" s="30"/>
      <c r="AK452" s="32">
        <v>43990</v>
      </c>
      <c r="AL452" s="30"/>
    </row>
    <row r="453" spans="1:38" hidden="1" x14ac:dyDescent="0.25">
      <c r="A453" s="27" t="s">
        <v>558</v>
      </c>
      <c r="B453" s="27" t="s">
        <v>254</v>
      </c>
      <c r="C453" s="34">
        <v>2021</v>
      </c>
      <c r="D453" s="3">
        <v>1</v>
      </c>
      <c r="E453" s="30" t="s">
        <v>37</v>
      </c>
      <c r="F453" s="30" t="s">
        <v>37</v>
      </c>
      <c r="G453" s="30">
        <f t="shared" si="76"/>
        <v>4</v>
      </c>
      <c r="H453" s="27">
        <v>3</v>
      </c>
      <c r="I453" s="27">
        <v>1</v>
      </c>
      <c r="J453" s="24">
        <f>H453/G453</f>
        <v>0.75</v>
      </c>
      <c r="K453" s="30">
        <v>0.25</v>
      </c>
      <c r="L453" s="27">
        <f t="shared" si="77"/>
        <v>4</v>
      </c>
      <c r="M453" s="27">
        <f>AVERAGE(W453:Z453)</f>
        <v>22.5</v>
      </c>
      <c r="N453" s="27"/>
      <c r="O453" s="27">
        <v>75</v>
      </c>
      <c r="P453" s="27">
        <v>2</v>
      </c>
      <c r="Q453" s="27">
        <v>25</v>
      </c>
      <c r="R453" s="27">
        <v>6</v>
      </c>
      <c r="S453" s="27" t="s">
        <v>102</v>
      </c>
      <c r="T453" s="30"/>
      <c r="U453" s="30"/>
      <c r="V453" s="30"/>
      <c r="W453" s="30">
        <v>19</v>
      </c>
      <c r="X453" s="30">
        <v>8</v>
      </c>
      <c r="Y453" s="30">
        <v>29</v>
      </c>
      <c r="Z453" s="30">
        <v>34</v>
      </c>
      <c r="AA453" s="30"/>
      <c r="AB453" s="30"/>
      <c r="AC453" s="2"/>
      <c r="AD453" s="30" t="s">
        <v>253</v>
      </c>
      <c r="AE453" s="30" t="s">
        <v>37</v>
      </c>
      <c r="AF453" s="30" t="s">
        <v>37</v>
      </c>
      <c r="AG453" s="30" t="s">
        <v>37</v>
      </c>
      <c r="AH453" s="30" t="s">
        <v>85</v>
      </c>
      <c r="AI453" s="30"/>
      <c r="AJ453" s="30"/>
      <c r="AK453" s="32">
        <v>44379</v>
      </c>
      <c r="AL453" s="30"/>
    </row>
    <row r="454" spans="1:38" hidden="1" x14ac:dyDescent="0.25">
      <c r="A454" s="47" t="s">
        <v>558</v>
      </c>
      <c r="B454" s="47" t="s">
        <v>254</v>
      </c>
      <c r="C454" s="15">
        <v>2022</v>
      </c>
      <c r="D454" s="15">
        <v>1</v>
      </c>
      <c r="E454" s="30" t="s">
        <v>37</v>
      </c>
      <c r="F454" s="30" t="s">
        <v>37</v>
      </c>
      <c r="G454" s="14">
        <f t="shared" si="76"/>
        <v>3</v>
      </c>
      <c r="H454" s="19">
        <v>0</v>
      </c>
      <c r="I454" s="19">
        <v>3</v>
      </c>
      <c r="J454" s="24">
        <f>H454/G454</f>
        <v>0</v>
      </c>
      <c r="K454" s="14">
        <v>0.25</v>
      </c>
      <c r="L454" s="19">
        <f t="shared" si="77"/>
        <v>3</v>
      </c>
      <c r="M454" s="19">
        <f>AVERAGE(W454:Z454)</f>
        <v>11</v>
      </c>
      <c r="O454" s="19">
        <v>96</v>
      </c>
      <c r="P454" s="19">
        <v>0</v>
      </c>
      <c r="Q454" s="19">
        <v>3</v>
      </c>
      <c r="R454" s="19">
        <v>3</v>
      </c>
      <c r="S454" s="47" t="s">
        <v>102</v>
      </c>
      <c r="T454" s="48" t="s">
        <v>37</v>
      </c>
      <c r="U454" s="14">
        <v>0</v>
      </c>
      <c r="W454" s="14">
        <v>15</v>
      </c>
      <c r="X454" s="14">
        <v>13</v>
      </c>
      <c r="Y454" s="14">
        <v>11</v>
      </c>
      <c r="Z454" s="14">
        <v>5</v>
      </c>
      <c r="AF454" s="48" t="s">
        <v>37</v>
      </c>
      <c r="AK454" s="42">
        <v>44746</v>
      </c>
    </row>
    <row r="455" spans="1:38" hidden="1" x14ac:dyDescent="0.25">
      <c r="A455" s="47" t="s">
        <v>558</v>
      </c>
      <c r="B455" s="47" t="s">
        <v>254</v>
      </c>
      <c r="C455" s="15">
        <v>2023</v>
      </c>
      <c r="D455" s="15">
        <v>1</v>
      </c>
      <c r="E455" s="30" t="s">
        <v>37</v>
      </c>
      <c r="F455" s="30" t="s">
        <v>37</v>
      </c>
      <c r="G455" s="14">
        <f t="shared" si="76"/>
        <v>0</v>
      </c>
      <c r="H455" s="19">
        <v>0</v>
      </c>
      <c r="I455" s="19">
        <v>0</v>
      </c>
      <c r="J455" s="24" t="s">
        <v>37</v>
      </c>
      <c r="K455" s="14">
        <v>0.25</v>
      </c>
      <c r="L455" s="19">
        <f t="shared" si="77"/>
        <v>0</v>
      </c>
      <c r="M455" s="19">
        <f>AVERAGE(W455:Z455)</f>
        <v>7.5</v>
      </c>
      <c r="N455" s="19">
        <f>AVERAGE(AA455:AB455)</f>
        <v>9.25</v>
      </c>
      <c r="O455" s="19">
        <v>75</v>
      </c>
      <c r="P455" s="19">
        <v>1</v>
      </c>
      <c r="Q455" s="19">
        <v>15</v>
      </c>
      <c r="R455" s="19">
        <v>7</v>
      </c>
      <c r="S455" s="59" t="s">
        <v>541</v>
      </c>
      <c r="T455" s="57" t="s">
        <v>506</v>
      </c>
      <c r="U455" s="14">
        <v>3</v>
      </c>
      <c r="W455" s="14">
        <v>6</v>
      </c>
      <c r="X455" s="14">
        <v>7</v>
      </c>
      <c r="Y455" s="14">
        <v>11</v>
      </c>
      <c r="Z455" s="14">
        <v>6</v>
      </c>
      <c r="AA455" s="14">
        <v>5</v>
      </c>
      <c r="AB455" s="14">
        <v>13.5</v>
      </c>
      <c r="AF455" s="48" t="s">
        <v>37</v>
      </c>
      <c r="AH455" s="57" t="s">
        <v>650</v>
      </c>
      <c r="AK455" s="42">
        <v>44746</v>
      </c>
    </row>
    <row r="456" spans="1:38" hidden="1" x14ac:dyDescent="0.25">
      <c r="A456" s="47" t="s">
        <v>558</v>
      </c>
      <c r="B456" s="47" t="s">
        <v>254</v>
      </c>
      <c r="C456" s="15">
        <v>2024</v>
      </c>
      <c r="D456" s="15">
        <v>1</v>
      </c>
      <c r="E456" s="30" t="s">
        <v>37</v>
      </c>
      <c r="F456" s="30" t="s">
        <v>37</v>
      </c>
      <c r="G456" s="14">
        <f t="shared" si="76"/>
        <v>0</v>
      </c>
      <c r="H456" s="19">
        <v>0</v>
      </c>
      <c r="I456" s="19">
        <v>0</v>
      </c>
      <c r="J456" s="24" t="s">
        <v>37</v>
      </c>
      <c r="K456" s="14">
        <v>0.25</v>
      </c>
      <c r="L456" s="19">
        <f t="shared" si="77"/>
        <v>0</v>
      </c>
      <c r="M456" s="19">
        <f>AVERAGE(X456:Z456)</f>
        <v>6.333333333333333</v>
      </c>
      <c r="O456" s="19">
        <v>98</v>
      </c>
      <c r="P456" s="19">
        <v>0</v>
      </c>
      <c r="Q456" s="19">
        <v>1</v>
      </c>
      <c r="W456" s="14">
        <v>9</v>
      </c>
      <c r="X456" s="14">
        <v>5</v>
      </c>
      <c r="Y456" s="14">
        <v>6</v>
      </c>
      <c r="Z456" s="14">
        <v>8</v>
      </c>
    </row>
    <row r="457" spans="1:38" hidden="1" x14ac:dyDescent="0.25">
      <c r="A457" s="21" t="s">
        <v>558</v>
      </c>
      <c r="B457" s="27" t="s">
        <v>256</v>
      </c>
      <c r="C457" s="3">
        <v>2014</v>
      </c>
      <c r="D457" s="3">
        <v>1</v>
      </c>
      <c r="E457" s="3" t="s">
        <v>37</v>
      </c>
      <c r="F457" s="3" t="s">
        <v>37</v>
      </c>
      <c r="G457" s="2">
        <v>8</v>
      </c>
      <c r="H457" s="21">
        <v>0</v>
      </c>
      <c r="I457" s="21">
        <f>G457-H457</f>
        <v>8</v>
      </c>
      <c r="J457" s="24">
        <f>H457/G457</f>
        <v>0</v>
      </c>
      <c r="K457" s="2">
        <v>0.25</v>
      </c>
      <c r="L457" s="27">
        <f t="shared" si="77"/>
        <v>8</v>
      </c>
      <c r="M457" s="27">
        <v>4</v>
      </c>
      <c r="N457" s="27"/>
      <c r="O457" s="27">
        <v>90</v>
      </c>
      <c r="P457" s="27"/>
      <c r="Q457" s="27"/>
      <c r="R457" s="27"/>
      <c r="S457" s="27"/>
      <c r="T457" s="30"/>
      <c r="U457" s="30"/>
      <c r="V457" s="30"/>
      <c r="W457" s="30"/>
      <c r="X457" s="30"/>
      <c r="Y457" s="30"/>
      <c r="Z457" s="30"/>
      <c r="AA457" s="30"/>
      <c r="AB457" s="30"/>
      <c r="AC457" s="2"/>
      <c r="AD457" s="3" t="s">
        <v>255</v>
      </c>
      <c r="AE457" s="3">
        <v>0.625</v>
      </c>
      <c r="AF457" s="2">
        <v>368.125</v>
      </c>
      <c r="AG457" s="30">
        <v>7.1</v>
      </c>
      <c r="AH457" s="30"/>
      <c r="AI457" s="30"/>
      <c r="AJ457" s="30"/>
      <c r="AK457" s="30"/>
      <c r="AL457" s="30"/>
    </row>
    <row r="458" spans="1:38" hidden="1" x14ac:dyDescent="0.25">
      <c r="A458" s="21" t="s">
        <v>558</v>
      </c>
      <c r="B458" s="27" t="s">
        <v>256</v>
      </c>
      <c r="C458" s="3">
        <v>2015</v>
      </c>
      <c r="D458" s="3">
        <v>1</v>
      </c>
      <c r="E458" s="3" t="s">
        <v>37</v>
      </c>
      <c r="F458" s="3" t="s">
        <v>37</v>
      </c>
      <c r="G458" s="2">
        <v>5</v>
      </c>
      <c r="H458" s="21">
        <v>0</v>
      </c>
      <c r="I458" s="21">
        <f>G458-H458</f>
        <v>5</v>
      </c>
      <c r="J458" s="24">
        <f>H458/G458</f>
        <v>0</v>
      </c>
      <c r="K458" s="2">
        <v>0.25</v>
      </c>
      <c r="L458" s="27">
        <f t="shared" si="77"/>
        <v>5</v>
      </c>
      <c r="M458" s="27" t="s">
        <v>37</v>
      </c>
      <c r="N458" s="27"/>
      <c r="O458" s="27" t="s">
        <v>37</v>
      </c>
      <c r="P458" s="27"/>
      <c r="Q458" s="27"/>
      <c r="R458" s="27"/>
      <c r="S458" s="27"/>
      <c r="T458" s="30"/>
      <c r="U458" s="30"/>
      <c r="V458" s="30" t="s">
        <v>257</v>
      </c>
      <c r="W458" s="30"/>
      <c r="X458" s="30"/>
      <c r="Y458" s="30"/>
      <c r="Z458" s="30"/>
      <c r="AA458" s="30"/>
      <c r="AB458" s="30"/>
      <c r="AC458" s="2"/>
      <c r="AD458" s="3" t="s">
        <v>255</v>
      </c>
      <c r="AE458" s="3">
        <v>1.4</v>
      </c>
      <c r="AF458" s="2">
        <v>224.8</v>
      </c>
      <c r="AG458" s="30" t="s">
        <v>37</v>
      </c>
      <c r="AH458" s="30"/>
      <c r="AI458" s="30"/>
      <c r="AJ458" s="30"/>
      <c r="AK458" s="30"/>
      <c r="AL458" s="30"/>
    </row>
    <row r="459" spans="1:38" hidden="1" x14ac:dyDescent="0.25">
      <c r="A459" s="21" t="s">
        <v>558</v>
      </c>
      <c r="B459" s="27" t="s">
        <v>256</v>
      </c>
      <c r="C459" s="3">
        <v>2016</v>
      </c>
      <c r="D459" s="3">
        <v>1</v>
      </c>
      <c r="E459" s="3" t="s">
        <v>37</v>
      </c>
      <c r="F459" s="3" t="s">
        <v>37</v>
      </c>
      <c r="G459" s="25">
        <v>7</v>
      </c>
      <c r="H459" s="23">
        <v>0</v>
      </c>
      <c r="I459" s="21">
        <f>G459-H459</f>
        <v>7</v>
      </c>
      <c r="J459" s="24">
        <f>H459/G459</f>
        <v>0</v>
      </c>
      <c r="K459" s="2">
        <v>0.25</v>
      </c>
      <c r="L459" s="27">
        <f t="shared" si="77"/>
        <v>7</v>
      </c>
      <c r="M459" s="27">
        <v>3.5</v>
      </c>
      <c r="N459" s="27"/>
      <c r="O459" s="27">
        <v>55</v>
      </c>
      <c r="P459" s="27"/>
      <c r="Q459" s="27"/>
      <c r="R459" s="27"/>
      <c r="S459" s="27"/>
      <c r="T459" s="30"/>
      <c r="U459" s="30"/>
      <c r="V459" s="30" t="s">
        <v>258</v>
      </c>
      <c r="W459" s="30"/>
      <c r="X459" s="30"/>
      <c r="Y459" s="30"/>
      <c r="Z459" s="30"/>
      <c r="AA459" s="30"/>
      <c r="AB459" s="30"/>
      <c r="AC459" s="2"/>
      <c r="AD459" s="3" t="s">
        <v>255</v>
      </c>
      <c r="AE459" s="3">
        <v>0.14285714285714285</v>
      </c>
      <c r="AF459" s="2">
        <v>182.28569999999999</v>
      </c>
      <c r="AG459" s="30">
        <v>7.45</v>
      </c>
      <c r="AH459" s="30"/>
      <c r="AI459" s="30"/>
      <c r="AJ459" s="30"/>
      <c r="AK459" s="30"/>
      <c r="AL459" s="30"/>
    </row>
    <row r="460" spans="1:38" hidden="1" x14ac:dyDescent="0.25">
      <c r="A460" s="21" t="s">
        <v>558</v>
      </c>
      <c r="B460" s="27" t="s">
        <v>256</v>
      </c>
      <c r="C460" s="3">
        <v>2017</v>
      </c>
      <c r="D460" s="3">
        <v>1</v>
      </c>
      <c r="E460" s="3" t="s">
        <v>37</v>
      </c>
      <c r="F460" s="3" t="s">
        <v>37</v>
      </c>
      <c r="G460" s="25">
        <v>1</v>
      </c>
      <c r="H460" s="23">
        <v>0</v>
      </c>
      <c r="I460" s="21">
        <f>G460-H460</f>
        <v>1</v>
      </c>
      <c r="J460" s="24">
        <f>H460/G460</f>
        <v>0</v>
      </c>
      <c r="K460" s="2">
        <v>0.25</v>
      </c>
      <c r="L460" s="27">
        <f t="shared" si="77"/>
        <v>1</v>
      </c>
      <c r="M460" s="27">
        <v>1.875</v>
      </c>
      <c r="N460" s="27"/>
      <c r="O460" s="27">
        <v>60</v>
      </c>
      <c r="P460" s="27"/>
      <c r="Q460" s="27"/>
      <c r="R460" s="27"/>
      <c r="S460" s="27"/>
      <c r="T460" s="30"/>
      <c r="U460" s="30"/>
      <c r="V460" s="30"/>
      <c r="W460" s="30"/>
      <c r="X460" s="30"/>
      <c r="Y460" s="30"/>
      <c r="Z460" s="30"/>
      <c r="AA460" s="30"/>
      <c r="AB460" s="30"/>
      <c r="AC460" s="2"/>
      <c r="AD460" s="3" t="s">
        <v>255</v>
      </c>
      <c r="AE460" s="3" t="s">
        <v>37</v>
      </c>
      <c r="AF460" s="2">
        <v>280</v>
      </c>
      <c r="AG460" s="30">
        <v>0.45</v>
      </c>
      <c r="AH460" s="30"/>
      <c r="AI460" s="30"/>
      <c r="AJ460" s="30"/>
      <c r="AK460" s="30"/>
      <c r="AL460" s="30"/>
    </row>
    <row r="461" spans="1:38" hidden="1" x14ac:dyDescent="0.25">
      <c r="A461" s="21" t="s">
        <v>558</v>
      </c>
      <c r="B461" s="27" t="s">
        <v>256</v>
      </c>
      <c r="C461" s="3">
        <v>2018</v>
      </c>
      <c r="D461" s="3">
        <v>1</v>
      </c>
      <c r="E461" s="3" t="s">
        <v>37</v>
      </c>
      <c r="F461" s="3" t="s">
        <v>37</v>
      </c>
      <c r="G461" s="30" t="s">
        <v>37</v>
      </c>
      <c r="H461" s="27" t="s">
        <v>37</v>
      </c>
      <c r="I461" s="27" t="s">
        <v>37</v>
      </c>
      <c r="J461" s="27" t="s">
        <v>37</v>
      </c>
      <c r="K461" s="2" t="s">
        <v>37</v>
      </c>
      <c r="L461" s="24" t="s">
        <v>37</v>
      </c>
      <c r="M461" s="27" t="s">
        <v>37</v>
      </c>
      <c r="N461" s="27"/>
      <c r="O461" s="27" t="s">
        <v>37</v>
      </c>
      <c r="P461" s="27"/>
      <c r="Q461" s="27"/>
      <c r="R461" s="27"/>
      <c r="S461" s="27"/>
      <c r="T461" s="30"/>
      <c r="U461" s="30"/>
      <c r="V461" s="30"/>
      <c r="W461" s="30"/>
      <c r="X461" s="30"/>
      <c r="Y461" s="30"/>
      <c r="Z461" s="30"/>
      <c r="AA461" s="30"/>
      <c r="AB461" s="30"/>
      <c r="AC461" s="2"/>
      <c r="AD461" s="3" t="s">
        <v>255</v>
      </c>
      <c r="AE461" s="3" t="s">
        <v>37</v>
      </c>
      <c r="AF461" s="30" t="s">
        <v>37</v>
      </c>
      <c r="AG461" s="30" t="s">
        <v>37</v>
      </c>
      <c r="AH461" s="30"/>
      <c r="AI461" s="30"/>
      <c r="AJ461" s="30"/>
      <c r="AK461" s="30"/>
      <c r="AL461" s="30"/>
    </row>
    <row r="462" spans="1:38" hidden="1" x14ac:dyDescent="0.25">
      <c r="A462" s="21" t="s">
        <v>558</v>
      </c>
      <c r="B462" s="27" t="s">
        <v>256</v>
      </c>
      <c r="C462" s="3">
        <v>2019</v>
      </c>
      <c r="D462" s="3">
        <v>1</v>
      </c>
      <c r="E462" s="3" t="s">
        <v>37</v>
      </c>
      <c r="F462" s="3" t="s">
        <v>37</v>
      </c>
      <c r="G462" s="30">
        <f t="shared" ref="G462:G467" si="78">SUM(H462:I462)</f>
        <v>0</v>
      </c>
      <c r="H462" s="27">
        <v>0</v>
      </c>
      <c r="I462" s="21">
        <v>0</v>
      </c>
      <c r="J462" s="24" t="s">
        <v>37</v>
      </c>
      <c r="K462" s="30">
        <v>0.25</v>
      </c>
      <c r="L462" s="27">
        <f t="shared" ref="L462:L471" si="79">G462/(K462/0.25)</f>
        <v>0</v>
      </c>
      <c r="M462" s="27">
        <v>3.5</v>
      </c>
      <c r="N462" s="27"/>
      <c r="O462" s="27">
        <v>30</v>
      </c>
      <c r="P462" s="27">
        <v>60</v>
      </c>
      <c r="Q462" s="27"/>
      <c r="R462" s="27"/>
      <c r="S462" s="27"/>
      <c r="T462" s="30"/>
      <c r="U462" s="30"/>
      <c r="V462" s="30" t="s">
        <v>259</v>
      </c>
      <c r="W462" s="30"/>
      <c r="X462" s="30"/>
      <c r="Y462" s="30"/>
      <c r="Z462" s="30"/>
      <c r="AA462" s="30"/>
      <c r="AB462" s="30"/>
      <c r="AC462" s="2"/>
      <c r="AD462" s="3" t="s">
        <v>255</v>
      </c>
      <c r="AE462" s="3" t="s">
        <v>37</v>
      </c>
      <c r="AF462" s="30" t="s">
        <v>37</v>
      </c>
      <c r="AG462" s="30"/>
      <c r="AH462" s="30" t="s">
        <v>85</v>
      </c>
      <c r="AI462" s="30"/>
      <c r="AJ462" s="30"/>
      <c r="AK462" s="32">
        <v>43642</v>
      </c>
      <c r="AL462" s="30">
        <v>11</v>
      </c>
    </row>
    <row r="463" spans="1:38" hidden="1" x14ac:dyDescent="0.25">
      <c r="A463" s="21" t="s">
        <v>558</v>
      </c>
      <c r="B463" s="27" t="s">
        <v>256</v>
      </c>
      <c r="C463" s="3">
        <v>2020</v>
      </c>
      <c r="D463" s="3">
        <v>1</v>
      </c>
      <c r="E463" s="3" t="s">
        <v>37</v>
      </c>
      <c r="F463" s="3" t="s">
        <v>37</v>
      </c>
      <c r="G463" s="30">
        <f t="shared" si="78"/>
        <v>0</v>
      </c>
      <c r="H463" s="27">
        <v>0</v>
      </c>
      <c r="I463" s="21">
        <v>0</v>
      </c>
      <c r="J463" s="24" t="s">
        <v>37</v>
      </c>
      <c r="K463" s="30">
        <v>0.25</v>
      </c>
      <c r="L463" s="27">
        <f t="shared" si="79"/>
        <v>0</v>
      </c>
      <c r="M463" s="27">
        <v>5.25</v>
      </c>
      <c r="N463" s="27"/>
      <c r="O463" s="27">
        <v>70</v>
      </c>
      <c r="P463" s="27">
        <v>20</v>
      </c>
      <c r="Q463" s="27"/>
      <c r="R463" s="27">
        <v>5</v>
      </c>
      <c r="S463" s="27" t="s">
        <v>212</v>
      </c>
      <c r="T463" s="30" t="s">
        <v>239</v>
      </c>
      <c r="U463" s="30"/>
      <c r="V463" s="30"/>
      <c r="W463" s="30"/>
      <c r="X463" s="30"/>
      <c r="Y463" s="30"/>
      <c r="Z463" s="30"/>
      <c r="AA463" s="30"/>
      <c r="AB463" s="30"/>
      <c r="AC463" s="2"/>
      <c r="AD463" s="3" t="s">
        <v>255</v>
      </c>
      <c r="AE463" s="3" t="s">
        <v>37</v>
      </c>
      <c r="AF463" s="30" t="s">
        <v>37</v>
      </c>
      <c r="AG463" s="30"/>
      <c r="AH463" s="30" t="s">
        <v>85</v>
      </c>
      <c r="AI463" s="30"/>
      <c r="AJ463" s="30"/>
      <c r="AK463" s="32">
        <v>43990</v>
      </c>
      <c r="AL463" s="30"/>
    </row>
    <row r="464" spans="1:38" hidden="1" x14ac:dyDescent="0.25">
      <c r="A464" s="27" t="s">
        <v>558</v>
      </c>
      <c r="B464" s="27" t="s">
        <v>256</v>
      </c>
      <c r="C464" s="34">
        <v>2021</v>
      </c>
      <c r="D464" s="3">
        <v>1</v>
      </c>
      <c r="E464" s="30" t="s">
        <v>37</v>
      </c>
      <c r="F464" s="30" t="s">
        <v>37</v>
      </c>
      <c r="G464" s="30">
        <f t="shared" si="78"/>
        <v>0</v>
      </c>
      <c r="H464" s="27">
        <v>0</v>
      </c>
      <c r="I464" s="27">
        <v>0</v>
      </c>
      <c r="J464" s="24" t="s">
        <v>37</v>
      </c>
      <c r="K464" s="30">
        <v>0.25</v>
      </c>
      <c r="L464" s="27">
        <f t="shared" si="79"/>
        <v>0</v>
      </c>
      <c r="M464" s="27">
        <f>AVERAGE(W464:Z464)</f>
        <v>7.5</v>
      </c>
      <c r="N464" s="27"/>
      <c r="O464" s="27">
        <v>55</v>
      </c>
      <c r="P464" s="27">
        <v>10</v>
      </c>
      <c r="Q464" s="27">
        <v>10</v>
      </c>
      <c r="R464" s="27">
        <v>0</v>
      </c>
      <c r="S464" s="27"/>
      <c r="T464" s="30" t="s">
        <v>239</v>
      </c>
      <c r="U464" s="30">
        <v>1</v>
      </c>
      <c r="V464" s="30"/>
      <c r="W464" s="30">
        <v>4</v>
      </c>
      <c r="X464" s="30">
        <v>9</v>
      </c>
      <c r="Y464" s="30">
        <v>10</v>
      </c>
      <c r="Z464" s="30">
        <v>7</v>
      </c>
      <c r="AA464" s="30"/>
      <c r="AB464" s="30"/>
      <c r="AC464" s="2"/>
      <c r="AD464" s="30" t="s">
        <v>255</v>
      </c>
      <c r="AE464" s="30" t="s">
        <v>37</v>
      </c>
      <c r="AF464" s="30" t="s">
        <v>37</v>
      </c>
      <c r="AG464" s="30" t="s">
        <v>37</v>
      </c>
      <c r="AH464" s="30" t="s">
        <v>85</v>
      </c>
      <c r="AI464" s="30"/>
      <c r="AJ464" s="30"/>
      <c r="AK464" s="32">
        <v>44379</v>
      </c>
      <c r="AL464" s="30"/>
    </row>
    <row r="465" spans="1:38" hidden="1" x14ac:dyDescent="0.25">
      <c r="A465" s="47" t="s">
        <v>558</v>
      </c>
      <c r="B465" s="47" t="s">
        <v>256</v>
      </c>
      <c r="C465" s="15">
        <v>2022</v>
      </c>
      <c r="D465" s="15">
        <v>1</v>
      </c>
      <c r="E465" s="30" t="s">
        <v>37</v>
      </c>
      <c r="F465" s="30" t="s">
        <v>37</v>
      </c>
      <c r="G465" s="14">
        <f t="shared" si="78"/>
        <v>0</v>
      </c>
      <c r="H465" s="19">
        <v>0</v>
      </c>
      <c r="I465" s="19">
        <v>0</v>
      </c>
      <c r="J465" s="24" t="s">
        <v>37</v>
      </c>
      <c r="K465" s="14">
        <v>0.25</v>
      </c>
      <c r="L465" s="19">
        <f t="shared" si="79"/>
        <v>0</v>
      </c>
      <c r="M465" s="19">
        <f>AVERAGE(W465:Z465)</f>
        <v>3.5</v>
      </c>
      <c r="O465" s="19">
        <v>75</v>
      </c>
      <c r="P465" s="19">
        <v>6</v>
      </c>
      <c r="Q465" s="19">
        <v>18</v>
      </c>
      <c r="R465" s="19">
        <v>0</v>
      </c>
      <c r="S465" s="47" t="s">
        <v>37</v>
      </c>
      <c r="T465" s="48" t="s">
        <v>530</v>
      </c>
      <c r="U465" s="14">
        <v>2</v>
      </c>
      <c r="W465" s="14">
        <v>3</v>
      </c>
      <c r="X465" s="14">
        <v>2</v>
      </c>
      <c r="Y465" s="14">
        <v>5</v>
      </c>
      <c r="Z465" s="14">
        <v>4</v>
      </c>
      <c r="AF465" s="48" t="s">
        <v>37</v>
      </c>
      <c r="AK465" s="42">
        <v>44746</v>
      </c>
    </row>
    <row r="466" spans="1:38" hidden="1" x14ac:dyDescent="0.25">
      <c r="A466" s="47" t="s">
        <v>558</v>
      </c>
      <c r="B466" s="47" t="s">
        <v>256</v>
      </c>
      <c r="C466" s="15">
        <v>2023</v>
      </c>
      <c r="D466" s="15">
        <v>1</v>
      </c>
      <c r="E466" s="30" t="s">
        <v>37</v>
      </c>
      <c r="F466" s="30" t="s">
        <v>37</v>
      </c>
      <c r="G466" s="14">
        <f t="shared" si="78"/>
        <v>0</v>
      </c>
      <c r="H466" s="19">
        <v>0</v>
      </c>
      <c r="I466" s="19">
        <v>0</v>
      </c>
      <c r="J466" s="24" t="s">
        <v>37</v>
      </c>
      <c r="K466" s="14">
        <v>0.25</v>
      </c>
      <c r="L466" s="19">
        <f t="shared" si="79"/>
        <v>0</v>
      </c>
      <c r="M466" s="19">
        <f>AVERAGE(W466:Z466)</f>
        <v>3.75</v>
      </c>
      <c r="N466" s="19">
        <f>AVERAGE(AA466:AB466)</f>
        <v>10.5</v>
      </c>
      <c r="O466" s="19">
        <v>40</v>
      </c>
      <c r="P466" s="19">
        <v>15</v>
      </c>
      <c r="Q466" s="19">
        <v>50</v>
      </c>
      <c r="R466" s="19">
        <v>0</v>
      </c>
      <c r="S466" s="59" t="s">
        <v>37</v>
      </c>
      <c r="T466" s="57" t="s">
        <v>506</v>
      </c>
      <c r="U466" s="14">
        <v>3</v>
      </c>
      <c r="W466" s="14">
        <v>4</v>
      </c>
      <c r="X466" s="14">
        <v>4</v>
      </c>
      <c r="Y466" s="14">
        <v>3</v>
      </c>
      <c r="Z466" s="14">
        <v>4</v>
      </c>
      <c r="AA466" s="14">
        <v>9</v>
      </c>
      <c r="AB466" s="14">
        <v>12</v>
      </c>
      <c r="AF466" s="48" t="s">
        <v>37</v>
      </c>
      <c r="AH466" s="57" t="s">
        <v>650</v>
      </c>
      <c r="AK466" s="42">
        <v>44746</v>
      </c>
    </row>
    <row r="467" spans="1:38" hidden="1" x14ac:dyDescent="0.25">
      <c r="A467" s="47" t="s">
        <v>558</v>
      </c>
      <c r="B467" s="47" t="s">
        <v>256</v>
      </c>
      <c r="C467" s="15">
        <v>2024</v>
      </c>
      <c r="D467" s="15">
        <v>1</v>
      </c>
      <c r="E467" s="30" t="s">
        <v>37</v>
      </c>
      <c r="F467" s="30" t="s">
        <v>37</v>
      </c>
      <c r="G467" s="14">
        <f t="shared" si="78"/>
        <v>0</v>
      </c>
      <c r="H467" s="19">
        <v>0</v>
      </c>
      <c r="I467" s="19">
        <v>0</v>
      </c>
      <c r="J467" s="24" t="s">
        <v>37</v>
      </c>
      <c r="K467" s="14">
        <v>0.25</v>
      </c>
      <c r="L467" s="19">
        <f t="shared" si="79"/>
        <v>0</v>
      </c>
      <c r="M467" s="19">
        <f>AVERAGE(X467:Z467)</f>
        <v>4</v>
      </c>
      <c r="O467" s="19">
        <v>60</v>
      </c>
      <c r="P467" s="19">
        <v>28</v>
      </c>
      <c r="Q467" s="19">
        <v>9</v>
      </c>
      <c r="W467" s="14">
        <v>3</v>
      </c>
      <c r="X467" s="14">
        <v>2</v>
      </c>
      <c r="Y467" s="14">
        <v>5</v>
      </c>
      <c r="Z467" s="14">
        <v>5</v>
      </c>
    </row>
    <row r="468" spans="1:38" hidden="1" x14ac:dyDescent="0.25">
      <c r="A468" s="21" t="s">
        <v>558</v>
      </c>
      <c r="B468" s="27" t="s">
        <v>261</v>
      </c>
      <c r="C468" s="3">
        <v>2014</v>
      </c>
      <c r="D468" s="3">
        <v>1</v>
      </c>
      <c r="E468" s="3" t="s">
        <v>37</v>
      </c>
      <c r="F468" s="3" t="s">
        <v>37</v>
      </c>
      <c r="G468" s="2">
        <v>24</v>
      </c>
      <c r="H468" s="21">
        <v>1</v>
      </c>
      <c r="I468" s="21">
        <f>G468-H468</f>
        <v>23</v>
      </c>
      <c r="J468" s="24">
        <f>H468/G468</f>
        <v>4.1666666666666664E-2</v>
      </c>
      <c r="K468" s="2">
        <v>0.25</v>
      </c>
      <c r="L468" s="27">
        <f t="shared" si="79"/>
        <v>24</v>
      </c>
      <c r="M468" s="27">
        <v>5</v>
      </c>
      <c r="N468" s="27"/>
      <c r="O468" s="27">
        <v>95</v>
      </c>
      <c r="P468" s="27"/>
      <c r="Q468" s="27"/>
      <c r="R468" s="27"/>
      <c r="S468" s="27"/>
      <c r="T468" s="30"/>
      <c r="U468" s="30"/>
      <c r="V468" s="30"/>
      <c r="W468" s="30"/>
      <c r="X468" s="30"/>
      <c r="Y468" s="30"/>
      <c r="Z468" s="30"/>
      <c r="AA468" s="30"/>
      <c r="AB468" s="30"/>
      <c r="AC468" s="2"/>
      <c r="AD468" s="3" t="s">
        <v>260</v>
      </c>
      <c r="AE468" s="3">
        <v>1.25</v>
      </c>
      <c r="AF468" s="2">
        <v>411.83333333333331</v>
      </c>
      <c r="AG468" s="30">
        <v>25.7</v>
      </c>
      <c r="AH468" s="30"/>
      <c r="AI468" s="30"/>
      <c r="AJ468" s="30"/>
      <c r="AK468" s="30"/>
      <c r="AL468" s="30"/>
    </row>
    <row r="469" spans="1:38" hidden="1" x14ac:dyDescent="0.25">
      <c r="A469" s="21" t="s">
        <v>558</v>
      </c>
      <c r="B469" s="27" t="s">
        <v>261</v>
      </c>
      <c r="C469" s="3">
        <v>2015</v>
      </c>
      <c r="D469" s="3">
        <v>1</v>
      </c>
      <c r="E469" s="3" t="s">
        <v>37</v>
      </c>
      <c r="F469" s="3" t="s">
        <v>37</v>
      </c>
      <c r="G469" s="2">
        <v>30</v>
      </c>
      <c r="H469" s="21">
        <v>0</v>
      </c>
      <c r="I469" s="21">
        <f>G469-H469</f>
        <v>30</v>
      </c>
      <c r="J469" s="24">
        <f>H469/G469</f>
        <v>0</v>
      </c>
      <c r="K469" s="2">
        <v>0.25</v>
      </c>
      <c r="L469" s="27">
        <f t="shared" si="79"/>
        <v>30</v>
      </c>
      <c r="M469" s="27" t="s">
        <v>37</v>
      </c>
      <c r="N469" s="27"/>
      <c r="O469" s="27" t="s">
        <v>37</v>
      </c>
      <c r="P469" s="27"/>
      <c r="Q469" s="27"/>
      <c r="R469" s="27"/>
      <c r="S469" s="27"/>
      <c r="T469" s="30"/>
      <c r="U469" s="30"/>
      <c r="V469" s="30" t="s">
        <v>259</v>
      </c>
      <c r="W469" s="30"/>
      <c r="X469" s="30"/>
      <c r="Y469" s="30"/>
      <c r="Z469" s="30"/>
      <c r="AA469" s="30"/>
      <c r="AB469" s="30"/>
      <c r="AC469" s="2"/>
      <c r="AD469" s="3" t="s">
        <v>260</v>
      </c>
      <c r="AE469" s="3">
        <v>0.73333333333333328</v>
      </c>
      <c r="AF469" s="2">
        <v>360.06666666666666</v>
      </c>
      <c r="AG469" s="30" t="s">
        <v>37</v>
      </c>
      <c r="AH469" s="30"/>
      <c r="AI469" s="30"/>
      <c r="AJ469" s="30"/>
      <c r="AK469" s="30"/>
      <c r="AL469" s="30"/>
    </row>
    <row r="470" spans="1:38" hidden="1" x14ac:dyDescent="0.25">
      <c r="A470" s="21" t="s">
        <v>558</v>
      </c>
      <c r="B470" s="27" t="s">
        <v>261</v>
      </c>
      <c r="C470" s="3">
        <v>2016</v>
      </c>
      <c r="D470" s="3">
        <v>1</v>
      </c>
      <c r="E470" s="3" t="s">
        <v>37</v>
      </c>
      <c r="F470" s="3" t="s">
        <v>37</v>
      </c>
      <c r="G470" s="25">
        <v>22</v>
      </c>
      <c r="H470" s="23">
        <v>0</v>
      </c>
      <c r="I470" s="21">
        <f>G470-H470</f>
        <v>22</v>
      </c>
      <c r="J470" s="24">
        <f>H470/G470</f>
        <v>0</v>
      </c>
      <c r="K470" s="2">
        <v>0.25</v>
      </c>
      <c r="L470" s="27">
        <f t="shared" si="79"/>
        <v>22</v>
      </c>
      <c r="M470" s="27">
        <v>4.5</v>
      </c>
      <c r="N470" s="27"/>
      <c r="O470" s="27">
        <v>95</v>
      </c>
      <c r="P470" s="27"/>
      <c r="Q470" s="27"/>
      <c r="R470" s="27"/>
      <c r="S470" s="27"/>
      <c r="T470" s="30"/>
      <c r="U470" s="30"/>
      <c r="V470" s="30"/>
      <c r="W470" s="30"/>
      <c r="X470" s="30"/>
      <c r="Y470" s="30"/>
      <c r="Z470" s="30"/>
      <c r="AA470" s="30"/>
      <c r="AB470" s="30"/>
      <c r="AC470" s="2"/>
      <c r="AD470" s="3" t="s">
        <v>260</v>
      </c>
      <c r="AE470" s="3">
        <v>0.59090909090909094</v>
      </c>
      <c r="AF470" s="2">
        <v>459.27269999999999</v>
      </c>
      <c r="AG470" s="30">
        <v>34.299999999999997</v>
      </c>
      <c r="AH470" s="30"/>
      <c r="AI470" s="30"/>
      <c r="AJ470" s="30"/>
      <c r="AK470" s="30"/>
      <c r="AL470" s="30"/>
    </row>
    <row r="471" spans="1:38" hidden="1" x14ac:dyDescent="0.25">
      <c r="A471" s="21" t="s">
        <v>558</v>
      </c>
      <c r="B471" s="27" t="s">
        <v>261</v>
      </c>
      <c r="C471" s="3">
        <v>2017</v>
      </c>
      <c r="D471" s="3">
        <v>1</v>
      </c>
      <c r="E471" s="3" t="s">
        <v>37</v>
      </c>
      <c r="F471" s="3" t="s">
        <v>37</v>
      </c>
      <c r="G471" s="25">
        <v>13</v>
      </c>
      <c r="H471" s="23">
        <v>1</v>
      </c>
      <c r="I471" s="21">
        <f>G471-H471</f>
        <v>12</v>
      </c>
      <c r="J471" s="24">
        <f>H471/G471</f>
        <v>7.6923076923076927E-2</v>
      </c>
      <c r="K471" s="2">
        <v>0.25</v>
      </c>
      <c r="L471" s="27">
        <f t="shared" si="79"/>
        <v>13</v>
      </c>
      <c r="M471" s="27">
        <v>2.625</v>
      </c>
      <c r="N471" s="27"/>
      <c r="O471" s="27">
        <v>95</v>
      </c>
      <c r="P471" s="27"/>
      <c r="Q471" s="27"/>
      <c r="R471" s="27"/>
      <c r="S471" s="27"/>
      <c r="T471" s="30"/>
      <c r="U471" s="30"/>
      <c r="V471" s="30"/>
      <c r="W471" s="30"/>
      <c r="X471" s="30"/>
      <c r="Y471" s="30"/>
      <c r="Z471" s="30"/>
      <c r="AA471" s="30"/>
      <c r="AB471" s="30"/>
      <c r="AC471" s="2"/>
      <c r="AD471" s="3" t="s">
        <v>260</v>
      </c>
      <c r="AE471" s="3">
        <v>0.46153846153846156</v>
      </c>
      <c r="AF471" s="2">
        <v>354.53846153846155</v>
      </c>
      <c r="AG471" s="30">
        <v>8.0749999999999993</v>
      </c>
      <c r="AH471" s="30"/>
      <c r="AI471" s="30"/>
      <c r="AJ471" s="30"/>
      <c r="AK471" s="30"/>
      <c r="AL471" s="30"/>
    </row>
    <row r="472" spans="1:38" hidden="1" x14ac:dyDescent="0.25">
      <c r="A472" s="21" t="s">
        <v>558</v>
      </c>
      <c r="B472" s="27" t="s">
        <v>261</v>
      </c>
      <c r="C472" s="3">
        <v>2018</v>
      </c>
      <c r="D472" s="3">
        <v>1</v>
      </c>
      <c r="E472" s="3" t="s">
        <v>37</v>
      </c>
      <c r="F472" s="3" t="s">
        <v>37</v>
      </c>
      <c r="G472" s="30" t="s">
        <v>37</v>
      </c>
      <c r="H472" s="27" t="s">
        <v>37</v>
      </c>
      <c r="I472" s="27" t="s">
        <v>37</v>
      </c>
      <c r="J472" s="27" t="s">
        <v>37</v>
      </c>
      <c r="K472" s="2" t="s">
        <v>37</v>
      </c>
      <c r="L472" s="24" t="s">
        <v>37</v>
      </c>
      <c r="M472" s="27" t="s">
        <v>37</v>
      </c>
      <c r="N472" s="27"/>
      <c r="O472" s="27" t="s">
        <v>37</v>
      </c>
      <c r="P472" s="27"/>
      <c r="Q472" s="27"/>
      <c r="R472" s="27"/>
      <c r="S472" s="27"/>
      <c r="T472" s="30"/>
      <c r="U472" s="30"/>
      <c r="V472" s="30"/>
      <c r="W472" s="6"/>
      <c r="X472" s="6"/>
      <c r="Y472" s="6"/>
      <c r="Z472" s="6"/>
      <c r="AA472" s="6"/>
      <c r="AB472" s="6"/>
      <c r="AC472" s="2"/>
      <c r="AD472" s="3" t="s">
        <v>260</v>
      </c>
      <c r="AE472" s="3" t="s">
        <v>37</v>
      </c>
      <c r="AF472" s="30" t="s">
        <v>37</v>
      </c>
      <c r="AG472" s="30" t="s">
        <v>37</v>
      </c>
      <c r="AH472" s="30"/>
      <c r="AI472" s="30"/>
      <c r="AJ472" s="30"/>
      <c r="AK472" s="30"/>
      <c r="AL472" s="30"/>
    </row>
    <row r="473" spans="1:38" hidden="1" x14ac:dyDescent="0.25">
      <c r="A473" s="21" t="s">
        <v>558</v>
      </c>
      <c r="B473" s="27" t="s">
        <v>261</v>
      </c>
      <c r="C473" s="3">
        <v>2019</v>
      </c>
      <c r="D473" s="3">
        <v>1</v>
      </c>
      <c r="E473" s="3" t="s">
        <v>37</v>
      </c>
      <c r="F473" s="3" t="s">
        <v>37</v>
      </c>
      <c r="G473" s="30">
        <f>SUM(H473:I473)</f>
        <v>6</v>
      </c>
      <c r="H473" s="27">
        <v>0</v>
      </c>
      <c r="I473" s="21">
        <v>6</v>
      </c>
      <c r="J473" s="24">
        <f>H473/G473</f>
        <v>0</v>
      </c>
      <c r="K473" s="30">
        <v>0.25</v>
      </c>
      <c r="L473" s="27">
        <f>G473/(K473/0.25)</f>
        <v>6</v>
      </c>
      <c r="M473" s="27">
        <v>5.5</v>
      </c>
      <c r="N473" s="27"/>
      <c r="O473" s="27">
        <v>75</v>
      </c>
      <c r="P473" s="27">
        <v>30</v>
      </c>
      <c r="Q473" s="27"/>
      <c r="R473" s="27"/>
      <c r="S473" s="27"/>
      <c r="T473" s="30"/>
      <c r="U473" s="30"/>
      <c r="V473" s="30"/>
      <c r="W473" s="30"/>
      <c r="X473" s="30"/>
      <c r="Y473" s="30"/>
      <c r="Z473" s="30"/>
      <c r="AA473" s="30"/>
      <c r="AB473" s="30"/>
      <c r="AC473" s="2"/>
      <c r="AD473" s="3" t="s">
        <v>260</v>
      </c>
      <c r="AE473" s="3" t="s">
        <v>37</v>
      </c>
      <c r="AF473" s="30" t="s">
        <v>37</v>
      </c>
      <c r="AG473" s="30"/>
      <c r="AH473" s="30" t="s">
        <v>85</v>
      </c>
      <c r="AI473" s="30"/>
      <c r="AJ473" s="30"/>
      <c r="AK473" s="32">
        <v>43642</v>
      </c>
      <c r="AL473" s="30">
        <v>14</v>
      </c>
    </row>
    <row r="474" spans="1:38" hidden="1" x14ac:dyDescent="0.25">
      <c r="A474" s="21" t="s">
        <v>558</v>
      </c>
      <c r="B474" s="27" t="s">
        <v>261</v>
      </c>
      <c r="C474" s="3">
        <v>2020</v>
      </c>
      <c r="D474" s="3">
        <v>1</v>
      </c>
      <c r="E474" s="3" t="s">
        <v>37</v>
      </c>
      <c r="F474" s="3" t="s">
        <v>37</v>
      </c>
      <c r="G474" s="30" t="s">
        <v>37</v>
      </c>
      <c r="H474" s="27" t="s">
        <v>37</v>
      </c>
      <c r="I474" s="27" t="s">
        <v>37</v>
      </c>
      <c r="J474" s="27" t="s">
        <v>37</v>
      </c>
      <c r="K474" s="30">
        <v>0.25</v>
      </c>
      <c r="L474" s="27" t="s">
        <v>37</v>
      </c>
      <c r="M474" s="27" t="s">
        <v>37</v>
      </c>
      <c r="N474" s="27"/>
      <c r="O474" s="27" t="s">
        <v>37</v>
      </c>
      <c r="P474" s="27" t="s">
        <v>37</v>
      </c>
      <c r="Q474" s="27"/>
      <c r="R474" s="27"/>
      <c r="S474" s="27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" t="s">
        <v>260</v>
      </c>
      <c r="AE474" s="3" t="s">
        <v>37</v>
      </c>
      <c r="AF474" s="30" t="s">
        <v>37</v>
      </c>
      <c r="AG474" s="30"/>
      <c r="AH474" s="30" t="s">
        <v>85</v>
      </c>
      <c r="AI474" s="30"/>
      <c r="AJ474" s="30"/>
      <c r="AK474" s="32">
        <v>43990</v>
      </c>
      <c r="AL474" s="30"/>
    </row>
    <row r="475" spans="1:38" hidden="1" x14ac:dyDescent="0.25">
      <c r="A475" s="27" t="s">
        <v>558</v>
      </c>
      <c r="B475" s="27" t="s">
        <v>261</v>
      </c>
      <c r="C475" s="34">
        <v>2021</v>
      </c>
      <c r="D475" s="3">
        <v>1</v>
      </c>
      <c r="E475" s="30" t="s">
        <v>37</v>
      </c>
      <c r="F475" s="30" t="s">
        <v>37</v>
      </c>
      <c r="G475" s="30">
        <f>SUM(H475:I475)</f>
        <v>8</v>
      </c>
      <c r="H475" s="27">
        <v>0</v>
      </c>
      <c r="I475" s="27">
        <v>8</v>
      </c>
      <c r="J475" s="24">
        <f>H475/G475</f>
        <v>0</v>
      </c>
      <c r="K475" s="30">
        <v>0.25</v>
      </c>
      <c r="L475" s="27">
        <f t="shared" ref="L475:L480" si="80">G475/(K475/0.25)</f>
        <v>8</v>
      </c>
      <c r="M475" s="27">
        <f>AVERAGE(W475:Z475)</f>
        <v>10</v>
      </c>
      <c r="N475" s="27"/>
      <c r="O475" s="27">
        <v>75</v>
      </c>
      <c r="P475" s="27">
        <v>25</v>
      </c>
      <c r="Q475" s="27">
        <v>20</v>
      </c>
      <c r="R475" s="27">
        <v>0</v>
      </c>
      <c r="S475" s="27"/>
      <c r="T475" s="30"/>
      <c r="U475" s="30"/>
      <c r="V475" s="30"/>
      <c r="W475" s="30">
        <v>12</v>
      </c>
      <c r="X475" s="30">
        <v>13</v>
      </c>
      <c r="Y475" s="30">
        <v>7</v>
      </c>
      <c r="Z475" s="30">
        <v>8</v>
      </c>
      <c r="AA475" s="30"/>
      <c r="AB475" s="30"/>
      <c r="AC475" s="30"/>
      <c r="AD475" s="30" t="s">
        <v>260</v>
      </c>
      <c r="AE475" s="30" t="s">
        <v>37</v>
      </c>
      <c r="AF475" s="30" t="s">
        <v>37</v>
      </c>
      <c r="AG475" s="30" t="s">
        <v>37</v>
      </c>
      <c r="AH475" s="30" t="s">
        <v>85</v>
      </c>
      <c r="AI475" s="30"/>
      <c r="AJ475" s="30"/>
      <c r="AK475" s="32">
        <v>44379</v>
      </c>
      <c r="AL475" s="30"/>
    </row>
    <row r="476" spans="1:38" hidden="1" x14ac:dyDescent="0.25">
      <c r="A476" s="47" t="s">
        <v>558</v>
      </c>
      <c r="B476" s="47" t="s">
        <v>261</v>
      </c>
      <c r="C476" s="15">
        <v>2022</v>
      </c>
      <c r="D476" s="15">
        <v>1</v>
      </c>
      <c r="E476" s="30" t="s">
        <v>37</v>
      </c>
      <c r="F476" s="30" t="s">
        <v>37</v>
      </c>
      <c r="G476" s="14">
        <f>SUM(H476:I476)</f>
        <v>5</v>
      </c>
      <c r="H476" s="19">
        <v>1</v>
      </c>
      <c r="I476" s="19">
        <v>4</v>
      </c>
      <c r="J476" s="24">
        <f>H476/G476</f>
        <v>0.2</v>
      </c>
      <c r="K476" s="14">
        <v>0.25</v>
      </c>
      <c r="L476" s="19">
        <f t="shared" si="80"/>
        <v>5</v>
      </c>
      <c r="M476" s="19">
        <f>AVERAGE(W476:Z476)</f>
        <v>5.25</v>
      </c>
      <c r="O476" s="19">
        <v>92</v>
      </c>
      <c r="P476" s="19">
        <v>25</v>
      </c>
      <c r="Q476" s="19">
        <v>9</v>
      </c>
      <c r="R476" s="19">
        <v>0</v>
      </c>
      <c r="S476" s="47" t="s">
        <v>37</v>
      </c>
      <c r="T476" s="48" t="s">
        <v>37</v>
      </c>
      <c r="U476" s="14">
        <v>0</v>
      </c>
      <c r="W476" s="14">
        <v>5</v>
      </c>
      <c r="X476" s="14">
        <v>4</v>
      </c>
      <c r="Y476" s="14">
        <v>5</v>
      </c>
      <c r="Z476" s="14">
        <v>7</v>
      </c>
      <c r="AF476" s="48" t="s">
        <v>37</v>
      </c>
      <c r="AK476" s="42">
        <v>44746</v>
      </c>
    </row>
    <row r="477" spans="1:38" hidden="1" x14ac:dyDescent="0.25">
      <c r="A477" s="47" t="s">
        <v>558</v>
      </c>
      <c r="B477" s="47" t="s">
        <v>261</v>
      </c>
      <c r="C477" s="15">
        <v>2023</v>
      </c>
      <c r="D477" s="15">
        <v>1</v>
      </c>
      <c r="E477" s="30" t="s">
        <v>37</v>
      </c>
      <c r="F477" s="30" t="s">
        <v>37</v>
      </c>
      <c r="G477" s="14">
        <f>SUM(H477:I477)</f>
        <v>1</v>
      </c>
      <c r="H477" s="19">
        <v>0</v>
      </c>
      <c r="I477" s="19">
        <v>1</v>
      </c>
      <c r="J477" s="24">
        <f>H477/G477</f>
        <v>0</v>
      </c>
      <c r="K477" s="14">
        <v>0.25</v>
      </c>
      <c r="L477" s="19">
        <f t="shared" si="80"/>
        <v>1</v>
      </c>
      <c r="M477" s="19">
        <f>AVERAGE(W477:Z477)</f>
        <v>3</v>
      </c>
      <c r="N477" s="19">
        <f>AVERAGE(AA477:AB477)</f>
        <v>8.5</v>
      </c>
      <c r="O477" s="19">
        <v>15</v>
      </c>
      <c r="P477" s="19">
        <v>10</v>
      </c>
      <c r="Q477" s="19">
        <v>75</v>
      </c>
      <c r="R477" s="19">
        <v>0</v>
      </c>
      <c r="S477" s="59" t="s">
        <v>37</v>
      </c>
      <c r="T477" s="57" t="s">
        <v>37</v>
      </c>
      <c r="U477" s="14">
        <v>0</v>
      </c>
      <c r="W477" s="14">
        <v>2</v>
      </c>
      <c r="X477" s="14">
        <v>3</v>
      </c>
      <c r="Y477" s="14">
        <v>4</v>
      </c>
      <c r="Z477" s="14">
        <v>3</v>
      </c>
      <c r="AA477" s="14">
        <v>9</v>
      </c>
      <c r="AB477" s="14">
        <v>8</v>
      </c>
      <c r="AF477" s="48" t="s">
        <v>37</v>
      </c>
      <c r="AH477" s="57" t="s">
        <v>650</v>
      </c>
      <c r="AK477" s="42">
        <v>44746</v>
      </c>
    </row>
    <row r="478" spans="1:38" hidden="1" x14ac:dyDescent="0.25">
      <c r="A478" s="47" t="s">
        <v>558</v>
      </c>
      <c r="B478" s="47" t="s">
        <v>261</v>
      </c>
      <c r="C478" s="15">
        <v>2024</v>
      </c>
      <c r="D478" s="15">
        <v>1</v>
      </c>
      <c r="E478" s="30" t="s">
        <v>37</v>
      </c>
      <c r="F478" s="30" t="s">
        <v>37</v>
      </c>
      <c r="G478" s="14">
        <f>SUM(H478:I478)</f>
        <v>3</v>
      </c>
      <c r="H478" s="19">
        <v>0</v>
      </c>
      <c r="I478" s="19">
        <v>3</v>
      </c>
      <c r="J478" s="24">
        <f>H478/G478</f>
        <v>0</v>
      </c>
      <c r="K478" s="14">
        <v>0.25</v>
      </c>
      <c r="L478" s="19">
        <f t="shared" si="80"/>
        <v>3</v>
      </c>
      <c r="M478" s="19">
        <f>AVERAGE(X478:Z478)</f>
        <v>5</v>
      </c>
      <c r="O478" s="19">
        <v>92</v>
      </c>
      <c r="P478" s="19">
        <v>80</v>
      </c>
      <c r="Q478" s="19">
        <v>7</v>
      </c>
      <c r="W478" s="14">
        <v>6</v>
      </c>
      <c r="X478" s="14">
        <v>5</v>
      </c>
      <c r="Y478" s="14">
        <v>6</v>
      </c>
      <c r="Z478" s="14">
        <v>4</v>
      </c>
    </row>
    <row r="479" spans="1:38" hidden="1" x14ac:dyDescent="0.25">
      <c r="A479" s="21" t="s">
        <v>558</v>
      </c>
      <c r="B479" s="27" t="s">
        <v>264</v>
      </c>
      <c r="C479" s="3">
        <v>2014</v>
      </c>
      <c r="D479" s="3">
        <v>1</v>
      </c>
      <c r="E479" s="3" t="s">
        <v>37</v>
      </c>
      <c r="F479" s="3" t="s">
        <v>37</v>
      </c>
      <c r="G479" s="2">
        <v>1</v>
      </c>
      <c r="H479" s="21">
        <v>0</v>
      </c>
      <c r="I479" s="21">
        <f>G479-H479</f>
        <v>1</v>
      </c>
      <c r="J479" s="24">
        <f>H479/G479</f>
        <v>0</v>
      </c>
      <c r="K479" s="2">
        <v>0.25</v>
      </c>
      <c r="L479" s="27">
        <f t="shared" si="80"/>
        <v>1</v>
      </c>
      <c r="M479" s="27">
        <v>2</v>
      </c>
      <c r="N479" s="27"/>
      <c r="O479" s="27">
        <v>90</v>
      </c>
      <c r="P479" s="27"/>
      <c r="Q479" s="27"/>
      <c r="R479" s="27"/>
      <c r="S479" s="27"/>
      <c r="T479" s="30"/>
      <c r="U479" s="30"/>
      <c r="V479" s="30"/>
      <c r="W479" s="30"/>
      <c r="X479" s="30"/>
      <c r="Y479" s="30"/>
      <c r="Z479" s="30"/>
      <c r="AA479" s="30"/>
      <c r="AB479" s="30"/>
      <c r="AD479" s="3" t="s">
        <v>263</v>
      </c>
      <c r="AE479" s="3" t="s">
        <v>37</v>
      </c>
      <c r="AF479" s="2">
        <v>544</v>
      </c>
      <c r="AG479" s="30">
        <v>2.9</v>
      </c>
      <c r="AH479" s="30"/>
      <c r="AI479" s="30"/>
      <c r="AJ479" s="30"/>
      <c r="AK479" s="30"/>
      <c r="AL479" s="30"/>
    </row>
    <row r="480" spans="1:38" hidden="1" x14ac:dyDescent="0.25">
      <c r="A480" s="21" t="s">
        <v>558</v>
      </c>
      <c r="B480" s="27" t="s">
        <v>264</v>
      </c>
      <c r="C480" s="3">
        <v>2015</v>
      </c>
      <c r="D480" s="3">
        <v>1</v>
      </c>
      <c r="E480" s="3" t="s">
        <v>37</v>
      </c>
      <c r="F480" s="3" t="s">
        <v>37</v>
      </c>
      <c r="G480" s="2">
        <v>0</v>
      </c>
      <c r="H480" s="21">
        <v>0</v>
      </c>
      <c r="I480" s="21">
        <f>G480-H480</f>
        <v>0</v>
      </c>
      <c r="J480" s="24" t="s">
        <v>37</v>
      </c>
      <c r="K480" s="2">
        <v>0.25</v>
      </c>
      <c r="L480" s="27">
        <f t="shared" si="80"/>
        <v>0</v>
      </c>
      <c r="M480" s="27" t="s">
        <v>37</v>
      </c>
      <c r="N480" s="27"/>
      <c r="O480" s="27" t="s">
        <v>37</v>
      </c>
      <c r="P480" s="27"/>
      <c r="Q480" s="27"/>
      <c r="R480" s="27"/>
      <c r="S480" s="27"/>
      <c r="T480" s="30"/>
      <c r="U480" s="30"/>
      <c r="V480" s="30"/>
      <c r="W480" s="5"/>
      <c r="X480" s="5"/>
      <c r="Y480" s="5"/>
      <c r="Z480" s="5"/>
      <c r="AA480" s="5"/>
      <c r="AB480" s="5"/>
      <c r="AD480" s="3" t="s">
        <v>263</v>
      </c>
      <c r="AE480" s="3" t="s">
        <v>37</v>
      </c>
      <c r="AF480" s="2" t="s">
        <v>37</v>
      </c>
      <c r="AG480" s="30" t="s">
        <v>37</v>
      </c>
      <c r="AH480" s="30"/>
      <c r="AI480" s="30"/>
      <c r="AJ480" s="30"/>
      <c r="AK480" s="30"/>
      <c r="AL480" s="30"/>
    </row>
    <row r="481" spans="1:38" hidden="1" x14ac:dyDescent="0.25">
      <c r="A481" s="21" t="s">
        <v>558</v>
      </c>
      <c r="B481" s="27" t="s">
        <v>264</v>
      </c>
      <c r="C481" s="3">
        <v>2016</v>
      </c>
      <c r="D481" s="3">
        <v>1</v>
      </c>
      <c r="E481" s="3" t="s">
        <v>37</v>
      </c>
      <c r="F481" s="3" t="s">
        <v>37</v>
      </c>
      <c r="G481" s="25" t="s">
        <v>37</v>
      </c>
      <c r="H481" s="23" t="s">
        <v>37</v>
      </c>
      <c r="I481" s="24" t="s">
        <v>37</v>
      </c>
      <c r="J481" s="24" t="s">
        <v>37</v>
      </c>
      <c r="K481" s="2">
        <v>0.25</v>
      </c>
      <c r="L481" s="24" t="s">
        <v>37</v>
      </c>
      <c r="M481" s="27">
        <v>1.625</v>
      </c>
      <c r="N481" s="27"/>
      <c r="O481" s="27">
        <v>50</v>
      </c>
      <c r="P481" s="27"/>
      <c r="Q481" s="27"/>
      <c r="R481" s="27"/>
      <c r="S481" s="27"/>
      <c r="T481" s="30"/>
      <c r="U481" s="30"/>
      <c r="V481" s="30"/>
      <c r="W481" s="5"/>
      <c r="X481" s="5"/>
      <c r="Y481" s="5"/>
      <c r="Z481" s="5"/>
      <c r="AA481" s="5"/>
      <c r="AB481" s="5"/>
      <c r="AD481" s="3" t="s">
        <v>263</v>
      </c>
      <c r="AE481" s="3" t="s">
        <v>37</v>
      </c>
      <c r="AF481" s="2" t="s">
        <v>37</v>
      </c>
      <c r="AG481" s="30">
        <v>15.525</v>
      </c>
      <c r="AH481" s="30"/>
      <c r="AI481" s="30"/>
      <c r="AJ481" s="30"/>
      <c r="AK481" s="30"/>
      <c r="AL481" s="30"/>
    </row>
    <row r="482" spans="1:38" hidden="1" x14ac:dyDescent="0.25">
      <c r="A482" s="21" t="s">
        <v>558</v>
      </c>
      <c r="B482" s="27" t="s">
        <v>264</v>
      </c>
      <c r="C482" s="3">
        <v>2017</v>
      </c>
      <c r="D482" s="3">
        <v>1</v>
      </c>
      <c r="E482" s="3" t="s">
        <v>37</v>
      </c>
      <c r="F482" s="3" t="s">
        <v>37</v>
      </c>
      <c r="G482" s="25" t="s">
        <v>37</v>
      </c>
      <c r="H482" s="23" t="s">
        <v>37</v>
      </c>
      <c r="I482" s="21" t="s">
        <v>37</v>
      </c>
      <c r="J482" s="24" t="s">
        <v>37</v>
      </c>
      <c r="K482" s="2">
        <v>0.25</v>
      </c>
      <c r="L482" s="24" t="s">
        <v>37</v>
      </c>
      <c r="M482" s="27">
        <v>1.375</v>
      </c>
      <c r="N482" s="27"/>
      <c r="O482" s="27">
        <v>50</v>
      </c>
      <c r="P482" s="27"/>
      <c r="Q482" s="27"/>
      <c r="R482" s="27"/>
      <c r="S482" s="27"/>
      <c r="T482" s="30"/>
      <c r="U482" s="30"/>
      <c r="V482" s="30"/>
      <c r="W482" s="5"/>
      <c r="X482" s="5"/>
      <c r="Y482" s="5"/>
      <c r="Z482" s="5"/>
      <c r="AA482" s="5"/>
      <c r="AB482" s="5"/>
      <c r="AD482" s="3" t="s">
        <v>263</v>
      </c>
      <c r="AE482" s="3" t="s">
        <v>37</v>
      </c>
      <c r="AF482" s="2" t="s">
        <v>37</v>
      </c>
      <c r="AG482" s="30">
        <v>2.1749999999999998</v>
      </c>
      <c r="AH482" s="30"/>
      <c r="AI482" s="30"/>
      <c r="AJ482" s="30"/>
      <c r="AK482" s="30"/>
      <c r="AL482" s="30"/>
    </row>
    <row r="483" spans="1:38" hidden="1" x14ac:dyDescent="0.25">
      <c r="A483" s="21" t="s">
        <v>558</v>
      </c>
      <c r="B483" s="27" t="s">
        <v>264</v>
      </c>
      <c r="C483" s="3">
        <v>2018</v>
      </c>
      <c r="D483" s="3">
        <v>1</v>
      </c>
      <c r="E483" s="3" t="s">
        <v>37</v>
      </c>
      <c r="F483" s="3" t="s">
        <v>37</v>
      </c>
      <c r="G483" s="30" t="s">
        <v>37</v>
      </c>
      <c r="H483" s="27" t="s">
        <v>37</v>
      </c>
      <c r="I483" s="27" t="s">
        <v>37</v>
      </c>
      <c r="J483" s="27" t="s">
        <v>37</v>
      </c>
      <c r="K483" s="2" t="s">
        <v>37</v>
      </c>
      <c r="L483" s="24" t="s">
        <v>37</v>
      </c>
      <c r="M483" s="27" t="s">
        <v>37</v>
      </c>
      <c r="N483" s="27"/>
      <c r="O483" s="27" t="s">
        <v>37</v>
      </c>
      <c r="P483" s="27"/>
      <c r="Q483" s="27"/>
      <c r="R483" s="27"/>
      <c r="S483" s="27"/>
      <c r="T483" s="30"/>
      <c r="U483" s="30"/>
      <c r="V483" s="30"/>
      <c r="W483" s="5"/>
      <c r="X483" s="5"/>
      <c r="Y483" s="5"/>
      <c r="Z483" s="5"/>
      <c r="AA483" s="5"/>
      <c r="AB483" s="5"/>
      <c r="AD483" s="3" t="s">
        <v>263</v>
      </c>
      <c r="AE483" s="3" t="s">
        <v>37</v>
      </c>
      <c r="AF483" s="30" t="s">
        <v>37</v>
      </c>
      <c r="AG483" s="30" t="s">
        <v>37</v>
      </c>
      <c r="AH483" s="30"/>
      <c r="AI483" s="30"/>
      <c r="AJ483" s="30"/>
      <c r="AK483" s="30"/>
      <c r="AL483" s="30"/>
    </row>
    <row r="484" spans="1:38" hidden="1" x14ac:dyDescent="0.25">
      <c r="A484" s="21" t="s">
        <v>558</v>
      </c>
      <c r="B484" s="27" t="s">
        <v>264</v>
      </c>
      <c r="C484" s="3">
        <v>2019</v>
      </c>
      <c r="D484" s="3">
        <v>1</v>
      </c>
      <c r="E484" s="3" t="s">
        <v>37</v>
      </c>
      <c r="F484" s="3" t="s">
        <v>37</v>
      </c>
      <c r="G484" s="30">
        <f t="shared" ref="G484:G489" si="81">SUM(H484:I484)</f>
        <v>0</v>
      </c>
      <c r="H484" s="27">
        <v>0</v>
      </c>
      <c r="I484" s="21">
        <v>0</v>
      </c>
      <c r="J484" s="24" t="s">
        <v>37</v>
      </c>
      <c r="K484" s="30">
        <v>0.25</v>
      </c>
      <c r="L484" s="27">
        <f t="shared" ref="L484:L503" si="82">G484/(K484/0.25)</f>
        <v>0</v>
      </c>
      <c r="M484" s="27">
        <v>1.5</v>
      </c>
      <c r="N484" s="27"/>
      <c r="O484" s="27">
        <v>35</v>
      </c>
      <c r="P484" s="27">
        <v>30</v>
      </c>
      <c r="Q484" s="27"/>
      <c r="R484" s="27"/>
      <c r="S484" s="27"/>
      <c r="T484" s="30"/>
      <c r="U484" s="30"/>
      <c r="V484" s="30"/>
      <c r="W484" s="5"/>
      <c r="X484" s="5"/>
      <c r="Y484" s="5"/>
      <c r="Z484" s="5"/>
      <c r="AA484" s="5"/>
      <c r="AB484" s="5"/>
      <c r="AD484" s="3" t="s">
        <v>263</v>
      </c>
      <c r="AE484" s="3" t="s">
        <v>37</v>
      </c>
      <c r="AF484" s="30" t="s">
        <v>37</v>
      </c>
      <c r="AG484" s="30"/>
      <c r="AH484" s="30" t="s">
        <v>85</v>
      </c>
      <c r="AI484" s="30"/>
      <c r="AJ484" s="30"/>
      <c r="AK484" s="32">
        <v>43642</v>
      </c>
      <c r="AL484" s="30">
        <v>12</v>
      </c>
    </row>
    <row r="485" spans="1:38" hidden="1" x14ac:dyDescent="0.25">
      <c r="A485" s="21" t="s">
        <v>558</v>
      </c>
      <c r="B485" s="27" t="s">
        <v>264</v>
      </c>
      <c r="C485" s="3">
        <v>2020</v>
      </c>
      <c r="D485" s="3">
        <v>1</v>
      </c>
      <c r="E485" s="3" t="s">
        <v>37</v>
      </c>
      <c r="F485" s="3" t="s">
        <v>37</v>
      </c>
      <c r="G485" s="30">
        <f t="shared" si="81"/>
        <v>0</v>
      </c>
      <c r="H485" s="27">
        <v>0</v>
      </c>
      <c r="I485" s="21">
        <v>0</v>
      </c>
      <c r="J485" s="24" t="s">
        <v>37</v>
      </c>
      <c r="K485" s="30">
        <v>0.25</v>
      </c>
      <c r="L485" s="27">
        <f t="shared" si="82"/>
        <v>0</v>
      </c>
      <c r="M485" s="27">
        <v>3</v>
      </c>
      <c r="N485" s="27"/>
      <c r="O485" s="27">
        <v>40</v>
      </c>
      <c r="P485" s="27">
        <v>50</v>
      </c>
      <c r="Q485" s="27"/>
      <c r="R485" s="27"/>
      <c r="S485" s="27"/>
      <c r="T485" s="30"/>
      <c r="U485" s="30"/>
      <c r="V485" s="30"/>
      <c r="W485" s="5"/>
      <c r="X485" s="5"/>
      <c r="Y485" s="5"/>
      <c r="Z485" s="5"/>
      <c r="AA485" s="5"/>
      <c r="AB485" s="5"/>
      <c r="AD485" s="3" t="s">
        <v>263</v>
      </c>
      <c r="AE485" s="3" t="s">
        <v>37</v>
      </c>
      <c r="AF485" s="30" t="s">
        <v>37</v>
      </c>
      <c r="AG485" s="30"/>
      <c r="AH485" s="30" t="s">
        <v>85</v>
      </c>
      <c r="AI485" s="30"/>
      <c r="AJ485" s="30"/>
      <c r="AK485" s="32">
        <v>43990</v>
      </c>
      <c r="AL485" s="30"/>
    </row>
    <row r="486" spans="1:38" hidden="1" x14ac:dyDescent="0.25">
      <c r="A486" s="27" t="s">
        <v>558</v>
      </c>
      <c r="B486" s="27" t="s">
        <v>264</v>
      </c>
      <c r="C486" s="34">
        <v>2021</v>
      </c>
      <c r="D486" s="3">
        <v>1</v>
      </c>
      <c r="E486" s="30" t="s">
        <v>37</v>
      </c>
      <c r="F486" s="30" t="s">
        <v>37</v>
      </c>
      <c r="G486" s="30">
        <f t="shared" si="81"/>
        <v>0</v>
      </c>
      <c r="H486" s="27">
        <v>0</v>
      </c>
      <c r="I486" s="27">
        <v>0</v>
      </c>
      <c r="J486" s="24" t="s">
        <v>37</v>
      </c>
      <c r="K486" s="30">
        <v>0.25</v>
      </c>
      <c r="L486" s="27">
        <f t="shared" si="82"/>
        <v>0</v>
      </c>
      <c r="M486" s="27">
        <f>AVERAGE(W486:Z486)</f>
        <v>7</v>
      </c>
      <c r="N486" s="27"/>
      <c r="O486" s="27">
        <v>50</v>
      </c>
      <c r="P486" s="27">
        <v>15</v>
      </c>
      <c r="Q486" s="27">
        <v>40</v>
      </c>
      <c r="R486" s="27">
        <v>0</v>
      </c>
      <c r="S486" s="27"/>
      <c r="T486" s="30"/>
      <c r="U486" s="30"/>
      <c r="V486" s="30"/>
      <c r="W486" s="30">
        <v>7</v>
      </c>
      <c r="X486" s="30">
        <v>9</v>
      </c>
      <c r="Y486" s="30">
        <v>7</v>
      </c>
      <c r="Z486" s="30">
        <v>5</v>
      </c>
      <c r="AA486" s="30"/>
      <c r="AB486" s="30"/>
      <c r="AD486" s="30" t="s">
        <v>263</v>
      </c>
      <c r="AE486" s="30" t="s">
        <v>37</v>
      </c>
      <c r="AF486" s="30" t="s">
        <v>37</v>
      </c>
      <c r="AG486" s="30" t="s">
        <v>37</v>
      </c>
      <c r="AH486" s="30" t="s">
        <v>85</v>
      </c>
      <c r="AI486" s="30"/>
      <c r="AJ486" s="30"/>
      <c r="AK486" s="32">
        <v>44379</v>
      </c>
      <c r="AL486" s="30"/>
    </row>
    <row r="487" spans="1:38" hidden="1" x14ac:dyDescent="0.25">
      <c r="A487" s="47" t="s">
        <v>558</v>
      </c>
      <c r="B487" s="47" t="s">
        <v>264</v>
      </c>
      <c r="C487" s="15">
        <v>2022</v>
      </c>
      <c r="D487" s="15">
        <v>1</v>
      </c>
      <c r="E487" s="30" t="s">
        <v>37</v>
      </c>
      <c r="F487" s="30" t="s">
        <v>37</v>
      </c>
      <c r="G487" s="14">
        <f t="shared" si="81"/>
        <v>0</v>
      </c>
      <c r="H487" s="19">
        <v>0</v>
      </c>
      <c r="I487" s="19">
        <v>0</v>
      </c>
      <c r="J487" s="24" t="s">
        <v>37</v>
      </c>
      <c r="K487" s="14">
        <v>0.25</v>
      </c>
      <c r="L487" s="19">
        <f t="shared" si="82"/>
        <v>0</v>
      </c>
      <c r="M487" s="19">
        <f>AVERAGE(W487:Z487)</f>
        <v>6.5</v>
      </c>
      <c r="O487" s="19">
        <v>80</v>
      </c>
      <c r="P487" s="19">
        <v>9</v>
      </c>
      <c r="Q487" s="19">
        <v>10</v>
      </c>
      <c r="R487" s="19">
        <v>0</v>
      </c>
      <c r="S487" s="47" t="s">
        <v>37</v>
      </c>
      <c r="T487" s="48" t="s">
        <v>239</v>
      </c>
      <c r="U487" s="14">
        <v>2</v>
      </c>
      <c r="W487" s="14">
        <v>5</v>
      </c>
      <c r="X487" s="14">
        <v>7</v>
      </c>
      <c r="Y487" s="14">
        <v>6</v>
      </c>
      <c r="Z487" s="14">
        <v>8</v>
      </c>
      <c r="AF487" s="48" t="s">
        <v>37</v>
      </c>
      <c r="AH487" s="48" t="s">
        <v>531</v>
      </c>
      <c r="AK487" s="42">
        <v>44746</v>
      </c>
    </row>
    <row r="488" spans="1:38" hidden="1" x14ac:dyDescent="0.25">
      <c r="A488" s="47" t="s">
        <v>558</v>
      </c>
      <c r="B488" s="47" t="s">
        <v>264</v>
      </c>
      <c r="C488" s="15">
        <v>2023</v>
      </c>
      <c r="D488" s="15">
        <v>1</v>
      </c>
      <c r="E488" s="30" t="s">
        <v>37</v>
      </c>
      <c r="F488" s="30" t="s">
        <v>37</v>
      </c>
      <c r="G488" s="14">
        <f t="shared" si="81"/>
        <v>3</v>
      </c>
      <c r="H488" s="19">
        <v>0</v>
      </c>
      <c r="I488" s="19">
        <v>3</v>
      </c>
      <c r="J488" s="24">
        <f>H488/G488</f>
        <v>0</v>
      </c>
      <c r="K488" s="14">
        <v>0.25</v>
      </c>
      <c r="L488" s="19">
        <f t="shared" si="82"/>
        <v>3</v>
      </c>
      <c r="M488" s="19">
        <f>AVERAGE(X488:Z488)</f>
        <v>4.333333333333333</v>
      </c>
      <c r="N488" s="19">
        <f>AVERAGE(AA488:AB488)</f>
        <v>16.25</v>
      </c>
      <c r="O488" s="19">
        <v>65</v>
      </c>
      <c r="P488" s="19">
        <v>40</v>
      </c>
      <c r="Q488" s="19">
        <v>15</v>
      </c>
      <c r="R488" s="19">
        <v>0</v>
      </c>
      <c r="S488" s="59" t="s">
        <v>37</v>
      </c>
      <c r="T488" s="57" t="s">
        <v>506</v>
      </c>
      <c r="U488" s="14">
        <v>1</v>
      </c>
      <c r="W488" s="48">
        <v>6</v>
      </c>
      <c r="X488" s="14">
        <v>5</v>
      </c>
      <c r="Y488" s="14">
        <v>3</v>
      </c>
      <c r="Z488" s="14">
        <v>5</v>
      </c>
      <c r="AA488" s="14">
        <v>21</v>
      </c>
      <c r="AB488" s="14">
        <v>11.5</v>
      </c>
      <c r="AF488" s="48" t="s">
        <v>37</v>
      </c>
      <c r="AH488" s="57" t="s">
        <v>650</v>
      </c>
      <c r="AK488" s="42">
        <v>44746</v>
      </c>
    </row>
    <row r="489" spans="1:38" hidden="1" x14ac:dyDescent="0.25">
      <c r="A489" s="47" t="s">
        <v>558</v>
      </c>
      <c r="B489" s="47" t="s">
        <v>264</v>
      </c>
      <c r="C489" s="15">
        <v>2024</v>
      </c>
      <c r="D489" s="15">
        <v>1</v>
      </c>
      <c r="E489" s="30" t="s">
        <v>37</v>
      </c>
      <c r="F489" s="30" t="s">
        <v>37</v>
      </c>
      <c r="G489" s="14">
        <f t="shared" si="81"/>
        <v>0</v>
      </c>
      <c r="H489" s="19">
        <v>0</v>
      </c>
      <c r="I489" s="19">
        <v>0</v>
      </c>
      <c r="J489" s="24" t="s">
        <v>37</v>
      </c>
      <c r="K489" s="14">
        <v>0.25</v>
      </c>
      <c r="L489" s="19">
        <f t="shared" si="82"/>
        <v>0</v>
      </c>
      <c r="M489" s="19">
        <f>AVERAGE(X489:Z489)</f>
        <v>4.666666666666667</v>
      </c>
      <c r="O489" s="19">
        <v>75</v>
      </c>
      <c r="P489" s="19">
        <v>30</v>
      </c>
      <c r="Q489" s="19">
        <v>9</v>
      </c>
      <c r="W489" s="14">
        <v>3</v>
      </c>
      <c r="X489" s="14">
        <v>5</v>
      </c>
      <c r="Y489" s="14">
        <v>5</v>
      </c>
      <c r="Z489" s="14">
        <v>4</v>
      </c>
    </row>
    <row r="490" spans="1:38" x14ac:dyDescent="0.25">
      <c r="A490" s="21" t="s">
        <v>19</v>
      </c>
      <c r="B490" s="22"/>
      <c r="C490" s="3">
        <v>2014</v>
      </c>
      <c r="D490" s="3" t="s">
        <v>37</v>
      </c>
      <c r="E490" s="3" t="s">
        <v>37</v>
      </c>
      <c r="F490" s="3" t="s">
        <v>37</v>
      </c>
      <c r="G490" s="2">
        <v>34</v>
      </c>
      <c r="H490" s="21">
        <v>13</v>
      </c>
      <c r="I490" s="21">
        <f t="shared" ref="I490:I503" si="83">G490-H490</f>
        <v>21</v>
      </c>
      <c r="J490" s="24">
        <f t="shared" ref="J490:J503" si="84">H490/G490</f>
        <v>0.38235294117647056</v>
      </c>
      <c r="K490" s="2">
        <v>0.140625</v>
      </c>
      <c r="L490" s="27">
        <f t="shared" si="82"/>
        <v>60.444444444444443</v>
      </c>
      <c r="M490" s="27">
        <v>16</v>
      </c>
      <c r="N490" s="27"/>
      <c r="O490" s="27">
        <v>90</v>
      </c>
      <c r="P490" s="27"/>
      <c r="Q490" s="27"/>
      <c r="R490" s="27"/>
      <c r="S490" s="27"/>
      <c r="T490" s="30"/>
      <c r="U490" s="30"/>
      <c r="V490" s="30"/>
      <c r="W490" s="30"/>
      <c r="X490" s="30"/>
      <c r="Y490" s="30"/>
      <c r="Z490" s="30"/>
      <c r="AA490" s="30"/>
      <c r="AB490" s="30"/>
      <c r="AC490" s="2"/>
      <c r="AD490" s="3" t="s">
        <v>125</v>
      </c>
      <c r="AE490" s="3">
        <v>2.2647058823529411</v>
      </c>
      <c r="AF490" s="2">
        <v>922.05882352941171</v>
      </c>
      <c r="AG490" s="30">
        <v>14.6</v>
      </c>
      <c r="AH490" s="30">
        <v>1</v>
      </c>
      <c r="AI490" s="30">
        <v>2</v>
      </c>
      <c r="AJ490" s="30">
        <v>0</v>
      </c>
      <c r="AK490" s="30"/>
      <c r="AL490" s="30"/>
    </row>
    <row r="491" spans="1:38" x14ac:dyDescent="0.25">
      <c r="A491" s="21" t="s">
        <v>19</v>
      </c>
      <c r="B491" s="22"/>
      <c r="C491" s="3">
        <v>2014</v>
      </c>
      <c r="D491" s="3" t="s">
        <v>37</v>
      </c>
      <c r="E491" s="3" t="s">
        <v>37</v>
      </c>
      <c r="F491" s="3" t="s">
        <v>37</v>
      </c>
      <c r="G491" s="2">
        <v>21</v>
      </c>
      <c r="H491" s="21">
        <v>6</v>
      </c>
      <c r="I491" s="21">
        <f t="shared" si="83"/>
        <v>15</v>
      </c>
      <c r="J491" s="24">
        <f t="shared" si="84"/>
        <v>0.2857142857142857</v>
      </c>
      <c r="K491" s="2">
        <v>6.25E-2</v>
      </c>
      <c r="L491" s="27">
        <f t="shared" si="82"/>
        <v>84</v>
      </c>
      <c r="M491" s="27">
        <v>12</v>
      </c>
      <c r="N491" s="27"/>
      <c r="O491" s="27">
        <v>100</v>
      </c>
      <c r="P491" s="27"/>
      <c r="Q491" s="27"/>
      <c r="R491" s="27"/>
      <c r="S491" s="27"/>
      <c r="T491" s="30"/>
      <c r="U491" s="30"/>
      <c r="V491" s="30"/>
      <c r="W491" s="30"/>
      <c r="X491" s="30"/>
      <c r="Y491" s="30"/>
      <c r="Z491" s="30"/>
      <c r="AA491" s="30"/>
      <c r="AB491" s="30"/>
      <c r="AC491" s="2"/>
      <c r="AD491" s="3" t="s">
        <v>150</v>
      </c>
      <c r="AE491" s="3">
        <v>1.9047619047619047</v>
      </c>
      <c r="AF491" s="2">
        <v>995.04761904761904</v>
      </c>
      <c r="AG491" s="30">
        <v>34.799999999999997</v>
      </c>
      <c r="AH491" s="30">
        <v>1</v>
      </c>
      <c r="AI491" s="30">
        <v>2</v>
      </c>
      <c r="AJ491" s="30">
        <v>0</v>
      </c>
      <c r="AK491" s="30"/>
      <c r="AL491" s="30"/>
    </row>
    <row r="492" spans="1:38" x14ac:dyDescent="0.25">
      <c r="A492" s="21" t="s">
        <v>26</v>
      </c>
      <c r="B492" s="22"/>
      <c r="C492" s="3">
        <v>2014</v>
      </c>
      <c r="D492" s="3" t="s">
        <v>37</v>
      </c>
      <c r="E492" s="3" t="s">
        <v>37</v>
      </c>
      <c r="F492" s="3" t="s">
        <v>37</v>
      </c>
      <c r="G492" s="2">
        <v>4</v>
      </c>
      <c r="H492" s="21">
        <v>2</v>
      </c>
      <c r="I492" s="21">
        <f t="shared" si="83"/>
        <v>2</v>
      </c>
      <c r="J492" s="24">
        <f t="shared" si="84"/>
        <v>0.5</v>
      </c>
      <c r="K492" s="2">
        <v>0.25</v>
      </c>
      <c r="L492" s="27">
        <f t="shared" si="82"/>
        <v>4</v>
      </c>
      <c r="M492" s="27">
        <v>8</v>
      </c>
      <c r="N492" s="27"/>
      <c r="O492" s="27">
        <v>95</v>
      </c>
      <c r="P492" s="27"/>
      <c r="Q492" s="27"/>
      <c r="R492" s="27"/>
      <c r="S492" s="27"/>
      <c r="T492" s="30"/>
      <c r="U492" s="30"/>
      <c r="V492" s="30"/>
      <c r="W492" s="30"/>
      <c r="X492" s="30"/>
      <c r="Y492" s="30"/>
      <c r="Z492" s="30"/>
      <c r="AA492" s="30"/>
      <c r="AB492" s="30"/>
      <c r="AC492" s="2" t="s">
        <v>160</v>
      </c>
      <c r="AD492" s="3" t="s">
        <v>166</v>
      </c>
      <c r="AE492" s="3">
        <v>0.75</v>
      </c>
      <c r="AF492" s="2">
        <v>1455</v>
      </c>
      <c r="AG492" s="30">
        <v>54.4</v>
      </c>
      <c r="AH492" s="30">
        <v>1</v>
      </c>
      <c r="AI492" s="30">
        <v>1</v>
      </c>
      <c r="AJ492" s="30">
        <v>1</v>
      </c>
      <c r="AK492" s="30"/>
      <c r="AL492" s="30"/>
    </row>
    <row r="493" spans="1:38" x14ac:dyDescent="0.25">
      <c r="A493" s="21" t="s">
        <v>26</v>
      </c>
      <c r="B493" s="22"/>
      <c r="C493" s="3">
        <v>2014</v>
      </c>
      <c r="D493" s="3" t="s">
        <v>37</v>
      </c>
      <c r="E493" s="3" t="s">
        <v>37</v>
      </c>
      <c r="F493" s="3" t="s">
        <v>37</v>
      </c>
      <c r="G493" s="2">
        <v>7</v>
      </c>
      <c r="H493" s="21">
        <v>4</v>
      </c>
      <c r="I493" s="21">
        <f t="shared" si="83"/>
        <v>3</v>
      </c>
      <c r="J493" s="24">
        <f t="shared" si="84"/>
        <v>0.5714285714285714</v>
      </c>
      <c r="K493" s="2">
        <v>0.25</v>
      </c>
      <c r="L493" s="27">
        <f t="shared" si="82"/>
        <v>7</v>
      </c>
      <c r="M493" s="27">
        <v>8</v>
      </c>
      <c r="N493" s="27"/>
      <c r="O493" s="27">
        <v>85</v>
      </c>
      <c r="P493" s="27"/>
      <c r="Q493" s="27"/>
      <c r="R493" s="27"/>
      <c r="S493" s="27"/>
      <c r="T493" s="30"/>
      <c r="U493" s="30"/>
      <c r="V493" s="30"/>
      <c r="W493" s="30"/>
      <c r="X493" s="30"/>
      <c r="Y493" s="30"/>
      <c r="Z493" s="30"/>
      <c r="AA493" s="30"/>
      <c r="AB493" s="30"/>
      <c r="AC493" s="2" t="s">
        <v>160</v>
      </c>
      <c r="AD493" s="3" t="s">
        <v>169</v>
      </c>
      <c r="AE493" s="3">
        <v>1.5714285714285714</v>
      </c>
      <c r="AF493" s="2">
        <v>2576.2857142857142</v>
      </c>
      <c r="AG493" s="30">
        <v>54.5</v>
      </c>
      <c r="AH493" s="30">
        <v>1</v>
      </c>
      <c r="AI493" s="30">
        <v>1</v>
      </c>
      <c r="AJ493" s="30">
        <v>1</v>
      </c>
      <c r="AK493" s="30"/>
      <c r="AL493" s="30"/>
    </row>
    <row r="494" spans="1:38" x14ac:dyDescent="0.25">
      <c r="A494" s="21" t="s">
        <v>26</v>
      </c>
      <c r="B494" s="22"/>
      <c r="C494" s="3">
        <v>2014</v>
      </c>
      <c r="D494" s="3" t="s">
        <v>37</v>
      </c>
      <c r="E494" s="3" t="s">
        <v>37</v>
      </c>
      <c r="F494" s="3" t="s">
        <v>37</v>
      </c>
      <c r="G494" s="2">
        <v>33</v>
      </c>
      <c r="H494" s="21">
        <v>22</v>
      </c>
      <c r="I494" s="21">
        <f t="shared" si="83"/>
        <v>11</v>
      </c>
      <c r="J494" s="24">
        <f t="shared" si="84"/>
        <v>0.66666666666666663</v>
      </c>
      <c r="K494" s="2">
        <v>0.25</v>
      </c>
      <c r="L494" s="27">
        <f t="shared" si="82"/>
        <v>33</v>
      </c>
      <c r="M494" s="27">
        <v>19</v>
      </c>
      <c r="N494" s="27"/>
      <c r="O494" s="27">
        <v>85</v>
      </c>
      <c r="P494" s="27"/>
      <c r="Q494" s="27"/>
      <c r="R494" s="27"/>
      <c r="S494" s="27"/>
      <c r="AC494" s="2" t="s">
        <v>160</v>
      </c>
      <c r="AD494" s="3" t="s">
        <v>170</v>
      </c>
      <c r="AE494" s="3" t="s">
        <v>37</v>
      </c>
      <c r="AF494" s="2">
        <v>1615.6363636363637</v>
      </c>
      <c r="AG494" s="30">
        <v>49.4</v>
      </c>
      <c r="AH494" s="30">
        <v>1</v>
      </c>
      <c r="AI494" s="30">
        <v>1</v>
      </c>
      <c r="AJ494" s="30">
        <v>1</v>
      </c>
      <c r="AK494" s="30"/>
      <c r="AL494" s="30"/>
    </row>
    <row r="495" spans="1:38" x14ac:dyDescent="0.25">
      <c r="A495" s="21" t="s">
        <v>26</v>
      </c>
      <c r="B495" s="22"/>
      <c r="C495" s="3">
        <v>2014</v>
      </c>
      <c r="D495" s="3" t="s">
        <v>37</v>
      </c>
      <c r="E495" s="3" t="s">
        <v>37</v>
      </c>
      <c r="F495" s="3" t="s">
        <v>37</v>
      </c>
      <c r="G495" s="2">
        <v>10</v>
      </c>
      <c r="H495" s="21">
        <v>3</v>
      </c>
      <c r="I495" s="21">
        <f t="shared" si="83"/>
        <v>7</v>
      </c>
      <c r="J495" s="24">
        <f t="shared" si="84"/>
        <v>0.3</v>
      </c>
      <c r="K495" s="2">
        <v>0.25</v>
      </c>
      <c r="L495" s="27">
        <f t="shared" si="82"/>
        <v>10</v>
      </c>
      <c r="M495" s="27">
        <v>18</v>
      </c>
      <c r="N495" s="27"/>
      <c r="O495" s="27">
        <v>90</v>
      </c>
      <c r="P495" s="27"/>
      <c r="Q495" s="27"/>
      <c r="R495" s="27"/>
      <c r="S495" s="27"/>
      <c r="T495" s="30"/>
      <c r="U495" s="30"/>
      <c r="V495" s="30"/>
      <c r="W495" s="30"/>
      <c r="X495" s="30"/>
      <c r="Y495" s="30"/>
      <c r="Z495" s="30"/>
      <c r="AA495" s="30"/>
      <c r="AB495" s="30"/>
      <c r="AC495" s="2" t="s">
        <v>160</v>
      </c>
      <c r="AD495" s="3" t="s">
        <v>177</v>
      </c>
      <c r="AE495" s="3">
        <v>2.2000000000000002</v>
      </c>
      <c r="AF495" s="2">
        <v>1619.4</v>
      </c>
      <c r="AG495" s="30">
        <v>50.1</v>
      </c>
      <c r="AH495" s="30">
        <v>1</v>
      </c>
      <c r="AI495" s="30">
        <v>1</v>
      </c>
      <c r="AJ495" s="30">
        <v>1</v>
      </c>
      <c r="AK495" s="30"/>
      <c r="AL495" s="30"/>
    </row>
    <row r="496" spans="1:38" x14ac:dyDescent="0.25">
      <c r="A496" s="21" t="s">
        <v>26</v>
      </c>
      <c r="B496" s="22"/>
      <c r="C496" s="3">
        <v>2014</v>
      </c>
      <c r="D496" s="3" t="s">
        <v>37</v>
      </c>
      <c r="E496" s="3" t="s">
        <v>37</v>
      </c>
      <c r="F496" s="3" t="s">
        <v>37</v>
      </c>
      <c r="G496" s="2">
        <v>10</v>
      </c>
      <c r="H496" s="21">
        <v>2</v>
      </c>
      <c r="I496" s="21">
        <f t="shared" si="83"/>
        <v>8</v>
      </c>
      <c r="J496" s="24">
        <f t="shared" si="84"/>
        <v>0.2</v>
      </c>
      <c r="K496" s="2">
        <v>0.25</v>
      </c>
      <c r="L496" s="27">
        <f t="shared" si="82"/>
        <v>10</v>
      </c>
      <c r="M496" s="27">
        <v>19</v>
      </c>
      <c r="N496" s="27"/>
      <c r="O496" s="27">
        <v>95</v>
      </c>
      <c r="P496" s="27"/>
      <c r="Q496" s="27"/>
      <c r="R496" s="27"/>
      <c r="S496" s="27"/>
      <c r="T496" s="30"/>
      <c r="U496" s="30"/>
      <c r="V496" s="30"/>
      <c r="W496" s="30"/>
      <c r="X496" s="30"/>
      <c r="Y496" s="30"/>
      <c r="Z496" s="30"/>
      <c r="AA496" s="30"/>
      <c r="AB496" s="30"/>
      <c r="AC496" s="2" t="s">
        <v>178</v>
      </c>
      <c r="AD496" s="3" t="s">
        <v>179</v>
      </c>
      <c r="AE496" s="3">
        <v>1.7</v>
      </c>
      <c r="AF496" s="2">
        <v>911.8</v>
      </c>
      <c r="AG496" s="30">
        <v>51.2</v>
      </c>
      <c r="AH496" s="30">
        <v>1</v>
      </c>
      <c r="AI496" s="30">
        <v>1</v>
      </c>
      <c r="AJ496" s="30">
        <v>0</v>
      </c>
      <c r="AK496" s="30"/>
      <c r="AL496" s="30"/>
    </row>
    <row r="497" spans="1:38" x14ac:dyDescent="0.25">
      <c r="A497" s="21" t="s">
        <v>26</v>
      </c>
      <c r="B497" s="22"/>
      <c r="C497" s="3">
        <v>2014</v>
      </c>
      <c r="D497" s="3" t="s">
        <v>37</v>
      </c>
      <c r="E497" s="3" t="s">
        <v>37</v>
      </c>
      <c r="F497" s="3" t="s">
        <v>37</v>
      </c>
      <c r="G497" s="2">
        <v>7</v>
      </c>
      <c r="H497" s="21">
        <v>1</v>
      </c>
      <c r="I497" s="21">
        <f t="shared" si="83"/>
        <v>6</v>
      </c>
      <c r="J497" s="24">
        <f t="shared" si="84"/>
        <v>0.14285714285714285</v>
      </c>
      <c r="K497" s="2">
        <v>0.25</v>
      </c>
      <c r="L497" s="27">
        <f t="shared" si="82"/>
        <v>7</v>
      </c>
      <c r="M497" s="27">
        <v>10</v>
      </c>
      <c r="N497" s="27"/>
      <c r="O497" s="27">
        <v>75</v>
      </c>
      <c r="P497" s="27"/>
      <c r="Q497" s="27"/>
      <c r="R497" s="27"/>
      <c r="S497" s="27"/>
      <c r="T497" s="30"/>
      <c r="U497" s="30"/>
      <c r="V497" s="30"/>
      <c r="W497" s="30"/>
      <c r="X497" s="30"/>
      <c r="Y497" s="30"/>
      <c r="Z497" s="30"/>
      <c r="AA497" s="30"/>
      <c r="AB497" s="30"/>
      <c r="AC497" s="2" t="s">
        <v>178</v>
      </c>
      <c r="AD497" s="3" t="s">
        <v>235</v>
      </c>
      <c r="AE497" s="3">
        <v>2.1428571428571428</v>
      </c>
      <c r="AF497" s="2">
        <v>1200.1428571428571</v>
      </c>
      <c r="AG497" s="30">
        <v>53.6</v>
      </c>
      <c r="AH497" s="30">
        <v>1</v>
      </c>
      <c r="AI497" s="30">
        <v>1</v>
      </c>
      <c r="AJ497" s="30">
        <v>0</v>
      </c>
      <c r="AK497" s="30"/>
      <c r="AL497" s="30"/>
    </row>
    <row r="498" spans="1:38" x14ac:dyDescent="0.25">
      <c r="A498" s="21" t="s">
        <v>26</v>
      </c>
      <c r="B498" s="22"/>
      <c r="C498" s="3">
        <v>2014</v>
      </c>
      <c r="D498" s="3" t="s">
        <v>37</v>
      </c>
      <c r="E498" s="3" t="s">
        <v>37</v>
      </c>
      <c r="F498" s="3" t="s">
        <v>37</v>
      </c>
      <c r="G498" s="2">
        <v>11</v>
      </c>
      <c r="H498" s="21">
        <v>2</v>
      </c>
      <c r="I498" s="21">
        <f t="shared" si="83"/>
        <v>9</v>
      </c>
      <c r="J498" s="24">
        <f t="shared" si="84"/>
        <v>0.18181818181818182</v>
      </c>
      <c r="K498" s="2">
        <v>0.25</v>
      </c>
      <c r="L498" s="27">
        <f t="shared" si="82"/>
        <v>11</v>
      </c>
      <c r="M498" s="27">
        <v>5</v>
      </c>
      <c r="N498" s="27"/>
      <c r="O498" s="27">
        <v>90</v>
      </c>
      <c r="P498" s="27"/>
      <c r="Q498" s="27"/>
      <c r="R498" s="27"/>
      <c r="S498" s="27"/>
      <c r="T498" s="30"/>
      <c r="U498" s="30"/>
      <c r="V498" s="30"/>
      <c r="W498" s="30"/>
      <c r="X498" s="30"/>
      <c r="Y498" s="30"/>
      <c r="Z498" s="30"/>
      <c r="AA498" s="30"/>
      <c r="AB498" s="30"/>
      <c r="AC498" s="2" t="s">
        <v>178</v>
      </c>
      <c r="AD498" s="3" t="s">
        <v>236</v>
      </c>
      <c r="AE498" s="3">
        <v>1.7272727272727273</v>
      </c>
      <c r="AF498" s="2">
        <v>801.90909090909088</v>
      </c>
      <c r="AG498" s="30">
        <v>55.7</v>
      </c>
      <c r="AH498" s="30">
        <v>1</v>
      </c>
      <c r="AI498" s="30">
        <v>1</v>
      </c>
      <c r="AJ498" s="30">
        <v>0</v>
      </c>
      <c r="AK498" s="30"/>
      <c r="AL498" s="30"/>
    </row>
    <row r="499" spans="1:38" x14ac:dyDescent="0.25">
      <c r="A499" s="21" t="s">
        <v>26</v>
      </c>
      <c r="B499" s="22"/>
      <c r="C499" s="3">
        <v>2014</v>
      </c>
      <c r="D499" s="3" t="s">
        <v>37</v>
      </c>
      <c r="E499" s="3" t="s">
        <v>37</v>
      </c>
      <c r="F499" s="3" t="s">
        <v>37</v>
      </c>
      <c r="G499" s="2">
        <v>26</v>
      </c>
      <c r="H499" s="21">
        <v>7</v>
      </c>
      <c r="I499" s="21">
        <f t="shared" si="83"/>
        <v>19</v>
      </c>
      <c r="J499" s="24">
        <f t="shared" si="84"/>
        <v>0.26923076923076922</v>
      </c>
      <c r="K499" s="2">
        <v>0.140625</v>
      </c>
      <c r="L499" s="27">
        <f t="shared" si="82"/>
        <v>46.222222222222221</v>
      </c>
      <c r="M499" s="27">
        <v>7</v>
      </c>
      <c r="N499" s="27"/>
      <c r="O499" s="27">
        <v>70</v>
      </c>
      <c r="P499" s="27"/>
      <c r="Q499" s="27"/>
      <c r="R499" s="27"/>
      <c r="S499" s="27"/>
      <c r="T499" s="30"/>
      <c r="U499" s="30"/>
      <c r="V499" s="30"/>
      <c r="W499" s="30"/>
      <c r="X499" s="30"/>
      <c r="Y499" s="30"/>
      <c r="Z499" s="30"/>
      <c r="AA499" s="30"/>
      <c r="AB499" s="30"/>
      <c r="AD499" s="3" t="s">
        <v>273</v>
      </c>
      <c r="AE499" s="3">
        <v>1.153846153846154</v>
      </c>
      <c r="AF499" s="2">
        <v>1041.1153846153845</v>
      </c>
      <c r="AG499" s="30">
        <v>49.3</v>
      </c>
      <c r="AH499" s="30">
        <v>1</v>
      </c>
      <c r="AI499" s="30">
        <v>1</v>
      </c>
      <c r="AJ499" s="30">
        <v>0</v>
      </c>
      <c r="AK499" s="30"/>
      <c r="AL499" s="30"/>
    </row>
    <row r="500" spans="1:38" x14ac:dyDescent="0.25">
      <c r="A500" s="21" t="s">
        <v>19</v>
      </c>
      <c r="B500" s="22"/>
      <c r="C500" s="3">
        <v>2015</v>
      </c>
      <c r="D500" s="3" t="s">
        <v>37</v>
      </c>
      <c r="E500" s="3" t="s">
        <v>37</v>
      </c>
      <c r="F500" s="3" t="s">
        <v>37</v>
      </c>
      <c r="G500" s="2">
        <v>77</v>
      </c>
      <c r="H500" s="21">
        <v>12</v>
      </c>
      <c r="I500" s="21">
        <f t="shared" si="83"/>
        <v>65</v>
      </c>
      <c r="J500" s="24">
        <f t="shared" si="84"/>
        <v>0.15584415584415584</v>
      </c>
      <c r="K500" s="2">
        <v>0.140625</v>
      </c>
      <c r="L500" s="27">
        <f t="shared" si="82"/>
        <v>136.88888888888889</v>
      </c>
      <c r="M500" s="27" t="s">
        <v>37</v>
      </c>
      <c r="N500" s="27"/>
      <c r="O500" s="27" t="s">
        <v>37</v>
      </c>
      <c r="P500" s="27"/>
      <c r="Q500" s="27"/>
      <c r="R500" s="27"/>
      <c r="S500" s="27"/>
      <c r="T500" s="30"/>
      <c r="U500" s="30"/>
      <c r="V500" s="30"/>
      <c r="W500" s="30"/>
      <c r="X500" s="30"/>
      <c r="Y500" s="30"/>
      <c r="Z500" s="30"/>
      <c r="AA500" s="30"/>
      <c r="AB500" s="30"/>
      <c r="AC500" s="2"/>
      <c r="AD500" s="3" t="s">
        <v>125</v>
      </c>
      <c r="AE500" s="3">
        <v>0.77922077922077926</v>
      </c>
      <c r="AF500" s="2">
        <v>759.28571428571433</v>
      </c>
      <c r="AG500" s="30" t="s">
        <v>37</v>
      </c>
      <c r="AH500" s="30">
        <v>1</v>
      </c>
      <c r="AI500" s="30">
        <v>2</v>
      </c>
      <c r="AJ500" s="30">
        <v>0</v>
      </c>
      <c r="AK500" s="30"/>
      <c r="AL500" s="30"/>
    </row>
    <row r="501" spans="1:38" x14ac:dyDescent="0.25">
      <c r="A501" s="21" t="s">
        <v>19</v>
      </c>
      <c r="B501" s="22"/>
      <c r="C501" s="3">
        <v>2015</v>
      </c>
      <c r="D501" s="3" t="s">
        <v>37</v>
      </c>
      <c r="E501" s="3" t="s">
        <v>37</v>
      </c>
      <c r="F501" s="3" t="s">
        <v>37</v>
      </c>
      <c r="G501" s="2">
        <v>40</v>
      </c>
      <c r="H501" s="21">
        <v>17</v>
      </c>
      <c r="I501" s="21">
        <f t="shared" si="83"/>
        <v>23</v>
      </c>
      <c r="J501" s="24">
        <f t="shared" si="84"/>
        <v>0.42499999999999999</v>
      </c>
      <c r="K501" s="2">
        <v>6.25E-2</v>
      </c>
      <c r="L501" s="27">
        <f t="shared" si="82"/>
        <v>160</v>
      </c>
      <c r="M501" s="27" t="s">
        <v>37</v>
      </c>
      <c r="N501" s="27"/>
      <c r="O501" s="27" t="s">
        <v>37</v>
      </c>
      <c r="P501" s="27"/>
      <c r="Q501" s="27"/>
      <c r="R501" s="27"/>
      <c r="S501" s="27"/>
      <c r="T501" s="30"/>
      <c r="U501" s="30"/>
      <c r="V501" s="30"/>
      <c r="W501" s="30"/>
      <c r="X501" s="30"/>
      <c r="Y501" s="30"/>
      <c r="Z501" s="30"/>
      <c r="AA501" s="30"/>
      <c r="AB501" s="30"/>
      <c r="AC501" s="2"/>
      <c r="AD501" s="3" t="s">
        <v>150</v>
      </c>
      <c r="AE501" s="3">
        <v>0.72499999999999998</v>
      </c>
      <c r="AF501" s="2">
        <v>1143.8</v>
      </c>
      <c r="AG501" s="30" t="s">
        <v>37</v>
      </c>
      <c r="AH501" s="30">
        <v>1</v>
      </c>
      <c r="AI501" s="30">
        <v>2</v>
      </c>
      <c r="AJ501" s="30">
        <v>0</v>
      </c>
      <c r="AK501" s="30"/>
      <c r="AL501" s="30"/>
    </row>
    <row r="502" spans="1:38" x14ac:dyDescent="0.25">
      <c r="A502" s="21" t="s">
        <v>26</v>
      </c>
      <c r="B502" s="22"/>
      <c r="C502" s="3">
        <v>2015</v>
      </c>
      <c r="D502" s="3" t="s">
        <v>37</v>
      </c>
      <c r="E502" s="3" t="s">
        <v>37</v>
      </c>
      <c r="F502" s="3" t="s">
        <v>37</v>
      </c>
      <c r="G502" s="2">
        <v>3</v>
      </c>
      <c r="H502" s="21">
        <v>1</v>
      </c>
      <c r="I502" s="21">
        <f t="shared" si="83"/>
        <v>2</v>
      </c>
      <c r="J502" s="24">
        <f t="shared" si="84"/>
        <v>0.33333333333333331</v>
      </c>
      <c r="K502" s="2">
        <v>0.25</v>
      </c>
      <c r="L502" s="27">
        <f t="shared" si="82"/>
        <v>3</v>
      </c>
      <c r="M502" s="27" t="s">
        <v>37</v>
      </c>
      <c r="N502" s="27"/>
      <c r="O502" s="27" t="s">
        <v>37</v>
      </c>
      <c r="P502" s="27"/>
      <c r="Q502" s="27"/>
      <c r="R502" s="27"/>
      <c r="S502" s="27"/>
      <c r="T502" s="30"/>
      <c r="U502" s="30"/>
      <c r="V502" s="30"/>
      <c r="W502" s="30"/>
      <c r="X502" s="30"/>
      <c r="Y502" s="30"/>
      <c r="Z502" s="30"/>
      <c r="AA502" s="30"/>
      <c r="AB502" s="30"/>
      <c r="AC502" s="2" t="s">
        <v>160</v>
      </c>
      <c r="AD502" s="3" t="s">
        <v>166</v>
      </c>
      <c r="AE502" s="3">
        <v>0.66666666666666663</v>
      </c>
      <c r="AF502" s="2">
        <v>930</v>
      </c>
      <c r="AG502" s="30" t="s">
        <v>37</v>
      </c>
      <c r="AH502" s="30">
        <v>1</v>
      </c>
      <c r="AI502" s="30">
        <v>2</v>
      </c>
      <c r="AJ502" s="30">
        <v>0</v>
      </c>
      <c r="AK502" s="30"/>
      <c r="AL502" s="30"/>
    </row>
    <row r="503" spans="1:38" x14ac:dyDescent="0.25">
      <c r="A503" s="21" t="s">
        <v>26</v>
      </c>
      <c r="B503" s="22"/>
      <c r="C503" s="3">
        <v>2015</v>
      </c>
      <c r="D503" s="3" t="s">
        <v>37</v>
      </c>
      <c r="E503" s="3" t="s">
        <v>37</v>
      </c>
      <c r="F503" s="3" t="s">
        <v>37</v>
      </c>
      <c r="G503" s="2">
        <v>11</v>
      </c>
      <c r="H503" s="21">
        <v>2</v>
      </c>
      <c r="I503" s="21">
        <f t="shared" si="83"/>
        <v>9</v>
      </c>
      <c r="J503" s="24">
        <f t="shared" si="84"/>
        <v>0.18181818181818182</v>
      </c>
      <c r="K503" s="2">
        <v>0.25</v>
      </c>
      <c r="L503" s="27">
        <f t="shared" si="82"/>
        <v>11</v>
      </c>
      <c r="M503" s="27" t="s">
        <v>37</v>
      </c>
      <c r="N503" s="27"/>
      <c r="O503" s="27" t="s">
        <v>37</v>
      </c>
      <c r="P503" s="27"/>
      <c r="Q503" s="27"/>
      <c r="R503" s="27"/>
      <c r="S503" s="27"/>
      <c r="AC503" s="2" t="s">
        <v>160</v>
      </c>
      <c r="AD503" s="3" t="s">
        <v>169</v>
      </c>
      <c r="AE503" s="3">
        <v>1.1818181818181819</v>
      </c>
      <c r="AF503" s="2">
        <v>1691.7272727272727</v>
      </c>
      <c r="AG503" s="30" t="s">
        <v>37</v>
      </c>
      <c r="AH503" s="30">
        <v>1</v>
      </c>
      <c r="AI503" s="30">
        <v>2</v>
      </c>
      <c r="AJ503" s="30">
        <v>0</v>
      </c>
      <c r="AK503" s="30"/>
      <c r="AL503" s="30"/>
    </row>
    <row r="504" spans="1:38" x14ac:dyDescent="0.25">
      <c r="A504" s="21" t="s">
        <v>26</v>
      </c>
      <c r="B504" s="22"/>
      <c r="C504" s="3">
        <v>2015</v>
      </c>
      <c r="D504" s="3" t="s">
        <v>37</v>
      </c>
      <c r="E504" s="3" t="s">
        <v>37</v>
      </c>
      <c r="F504" s="3" t="s">
        <v>37</v>
      </c>
      <c r="G504" s="2" t="s">
        <v>37</v>
      </c>
      <c r="H504" s="21" t="s">
        <v>37</v>
      </c>
      <c r="I504" s="21" t="s">
        <v>37</v>
      </c>
      <c r="J504" s="24" t="s">
        <v>37</v>
      </c>
      <c r="K504" s="2">
        <v>0.25</v>
      </c>
      <c r="L504" s="24" t="s">
        <v>37</v>
      </c>
      <c r="M504" s="27" t="s">
        <v>37</v>
      </c>
      <c r="N504" s="27"/>
      <c r="O504" s="27" t="s">
        <v>37</v>
      </c>
      <c r="P504" s="27"/>
      <c r="Q504" s="27"/>
      <c r="R504" s="27"/>
      <c r="S504" s="27"/>
      <c r="AC504" s="2" t="s">
        <v>160</v>
      </c>
      <c r="AD504" s="3" t="s">
        <v>170</v>
      </c>
      <c r="AE504" s="3" t="s">
        <v>37</v>
      </c>
      <c r="AF504" s="2" t="s">
        <v>37</v>
      </c>
      <c r="AG504" s="30" t="s">
        <v>37</v>
      </c>
      <c r="AH504" s="30">
        <v>1</v>
      </c>
      <c r="AI504" s="30">
        <v>2</v>
      </c>
      <c r="AJ504" s="30">
        <v>0</v>
      </c>
      <c r="AK504" s="30"/>
      <c r="AL504" s="30"/>
    </row>
    <row r="505" spans="1:38" x14ac:dyDescent="0.25">
      <c r="A505" s="21" t="s">
        <v>26</v>
      </c>
      <c r="B505" s="22"/>
      <c r="C505" s="3">
        <v>2015</v>
      </c>
      <c r="D505" s="3" t="s">
        <v>37</v>
      </c>
      <c r="E505" s="3" t="s">
        <v>37</v>
      </c>
      <c r="F505" s="3" t="s">
        <v>37</v>
      </c>
      <c r="G505" s="2">
        <v>22</v>
      </c>
      <c r="H505" s="21">
        <v>13</v>
      </c>
      <c r="I505" s="21">
        <f t="shared" ref="I505:I529" si="85">G505-H505</f>
        <v>9</v>
      </c>
      <c r="J505" s="24">
        <f t="shared" ref="J505:J529" si="86">H505/G505</f>
        <v>0.59090909090909094</v>
      </c>
      <c r="K505" s="2">
        <v>0.25</v>
      </c>
      <c r="L505" s="27">
        <f t="shared" ref="L505:L529" si="87">G505/(K505/0.25)</f>
        <v>22</v>
      </c>
      <c r="M505" s="27" t="s">
        <v>37</v>
      </c>
      <c r="N505" s="27"/>
      <c r="O505" s="27" t="s">
        <v>37</v>
      </c>
      <c r="P505" s="27"/>
      <c r="Q505" s="27"/>
      <c r="R505" s="27"/>
      <c r="S505" s="27"/>
      <c r="T505" s="30"/>
      <c r="U505" s="30"/>
      <c r="V505" s="30"/>
      <c r="W505" s="30"/>
      <c r="X505" s="30"/>
      <c r="Y505" s="30"/>
      <c r="Z505" s="30"/>
      <c r="AA505" s="30"/>
      <c r="AB505" s="30"/>
      <c r="AC505" s="2" t="s">
        <v>178</v>
      </c>
      <c r="AD505" s="3" t="s">
        <v>177</v>
      </c>
      <c r="AE505" s="3">
        <v>1.4545454545454546</v>
      </c>
      <c r="AF505" s="2">
        <v>1090.7272727272727</v>
      </c>
      <c r="AG505" s="30" t="s">
        <v>37</v>
      </c>
      <c r="AH505" s="30">
        <v>1</v>
      </c>
      <c r="AI505" s="30">
        <v>2</v>
      </c>
      <c r="AJ505" s="30">
        <v>0</v>
      </c>
      <c r="AK505" s="30"/>
      <c r="AL505" s="30"/>
    </row>
    <row r="506" spans="1:38" x14ac:dyDescent="0.25">
      <c r="A506" s="21" t="s">
        <v>26</v>
      </c>
      <c r="B506" s="22"/>
      <c r="C506" s="3">
        <v>2015</v>
      </c>
      <c r="D506" s="3" t="s">
        <v>37</v>
      </c>
      <c r="E506" s="3" t="s">
        <v>37</v>
      </c>
      <c r="F506" s="3" t="s">
        <v>37</v>
      </c>
      <c r="G506" s="2">
        <v>17</v>
      </c>
      <c r="H506" s="21">
        <v>1</v>
      </c>
      <c r="I506" s="21">
        <f t="shared" si="85"/>
        <v>16</v>
      </c>
      <c r="J506" s="24">
        <f t="shared" si="86"/>
        <v>5.8823529411764705E-2</v>
      </c>
      <c r="K506" s="2">
        <v>0.25</v>
      </c>
      <c r="L506" s="27">
        <f t="shared" si="87"/>
        <v>17</v>
      </c>
      <c r="M506" s="27" t="s">
        <v>37</v>
      </c>
      <c r="N506" s="27"/>
      <c r="O506" s="27" t="s">
        <v>37</v>
      </c>
      <c r="P506" s="27"/>
      <c r="Q506" s="27"/>
      <c r="R506" s="27"/>
      <c r="S506" s="27"/>
      <c r="T506" s="30"/>
      <c r="U506" s="30"/>
      <c r="V506" s="30"/>
      <c r="W506" s="30"/>
      <c r="X506" s="30"/>
      <c r="Y506" s="30"/>
      <c r="Z506" s="30"/>
      <c r="AA506" s="30"/>
      <c r="AB506" s="30"/>
      <c r="AC506" s="2" t="s">
        <v>178</v>
      </c>
      <c r="AD506" s="3" t="s">
        <v>179</v>
      </c>
      <c r="AE506" s="3">
        <v>0.82352941176470584</v>
      </c>
      <c r="AF506" s="2">
        <v>780.94117647058829</v>
      </c>
      <c r="AG506" s="30" t="s">
        <v>37</v>
      </c>
      <c r="AH506" s="30">
        <v>1</v>
      </c>
      <c r="AI506" s="30">
        <v>2</v>
      </c>
      <c r="AJ506" s="30">
        <v>0</v>
      </c>
      <c r="AK506" s="30"/>
      <c r="AL506" s="30"/>
    </row>
    <row r="507" spans="1:38" x14ac:dyDescent="0.25">
      <c r="A507" s="21" t="s">
        <v>26</v>
      </c>
      <c r="B507" s="22"/>
      <c r="C507" s="3">
        <v>2015</v>
      </c>
      <c r="D507" s="3" t="s">
        <v>37</v>
      </c>
      <c r="E507" s="3" t="s">
        <v>37</v>
      </c>
      <c r="F507" s="3" t="s">
        <v>37</v>
      </c>
      <c r="G507" s="2">
        <v>15</v>
      </c>
      <c r="H507" s="21">
        <v>4</v>
      </c>
      <c r="I507" s="21">
        <f t="shared" si="85"/>
        <v>11</v>
      </c>
      <c r="J507" s="24">
        <f t="shared" si="86"/>
        <v>0.26666666666666666</v>
      </c>
      <c r="K507" s="2">
        <v>0.25</v>
      </c>
      <c r="L507" s="27">
        <f t="shared" si="87"/>
        <v>15</v>
      </c>
      <c r="M507" s="27" t="s">
        <v>37</v>
      </c>
      <c r="N507" s="27"/>
      <c r="O507" s="27" t="s">
        <v>37</v>
      </c>
      <c r="P507" s="27"/>
      <c r="Q507" s="27"/>
      <c r="R507" s="27"/>
      <c r="S507" s="27"/>
      <c r="T507" s="30"/>
      <c r="U507" s="30"/>
      <c r="V507" s="30"/>
      <c r="W507" s="30"/>
      <c r="X507" s="30"/>
      <c r="Y507" s="30"/>
      <c r="Z507" s="30"/>
      <c r="AA507" s="30"/>
      <c r="AB507" s="30"/>
      <c r="AC507" s="2" t="s">
        <v>178</v>
      </c>
      <c r="AD507" s="3" t="s">
        <v>235</v>
      </c>
      <c r="AE507" s="3">
        <v>1.2</v>
      </c>
      <c r="AF507" s="2">
        <v>1500.4</v>
      </c>
      <c r="AG507" s="30" t="s">
        <v>37</v>
      </c>
      <c r="AH507" s="30">
        <v>1</v>
      </c>
      <c r="AI507" s="30">
        <v>2</v>
      </c>
      <c r="AJ507" s="30">
        <v>0</v>
      </c>
      <c r="AK507" s="30"/>
      <c r="AL507" s="30"/>
    </row>
    <row r="508" spans="1:38" x14ac:dyDescent="0.25">
      <c r="A508" s="21" t="s">
        <v>26</v>
      </c>
      <c r="B508" s="22"/>
      <c r="C508" s="3">
        <v>2015</v>
      </c>
      <c r="D508" s="3" t="s">
        <v>37</v>
      </c>
      <c r="E508" s="3" t="s">
        <v>37</v>
      </c>
      <c r="F508" s="3" t="s">
        <v>37</v>
      </c>
      <c r="G508" s="2">
        <v>19</v>
      </c>
      <c r="H508" s="21">
        <v>1</v>
      </c>
      <c r="I508" s="21">
        <f t="shared" si="85"/>
        <v>18</v>
      </c>
      <c r="J508" s="24">
        <f t="shared" si="86"/>
        <v>5.2631578947368418E-2</v>
      </c>
      <c r="K508" s="2">
        <v>0.25</v>
      </c>
      <c r="L508" s="27">
        <f t="shared" si="87"/>
        <v>19</v>
      </c>
      <c r="M508" s="27" t="s">
        <v>37</v>
      </c>
      <c r="N508" s="27"/>
      <c r="O508" s="27" t="s">
        <v>37</v>
      </c>
      <c r="P508" s="27"/>
      <c r="Q508" s="27"/>
      <c r="R508" s="27"/>
      <c r="S508" s="27"/>
      <c r="T508" s="30"/>
      <c r="U508" s="30"/>
      <c r="V508" s="30"/>
      <c r="W508" s="30"/>
      <c r="X508" s="30"/>
      <c r="Y508" s="30"/>
      <c r="Z508" s="30"/>
      <c r="AA508" s="30"/>
      <c r="AB508" s="30"/>
      <c r="AC508" s="2" t="s">
        <v>178</v>
      </c>
      <c r="AD508" s="3" t="s">
        <v>236</v>
      </c>
      <c r="AE508" s="3">
        <v>0.84210526315789469</v>
      </c>
      <c r="AF508" s="2">
        <v>868.89473684210532</v>
      </c>
      <c r="AG508" s="30" t="s">
        <v>37</v>
      </c>
      <c r="AH508" s="30">
        <v>1</v>
      </c>
      <c r="AI508" s="30">
        <v>2</v>
      </c>
      <c r="AJ508" s="30">
        <v>0</v>
      </c>
      <c r="AK508" s="30"/>
      <c r="AL508" s="30"/>
    </row>
    <row r="509" spans="1:38" x14ac:dyDescent="0.25">
      <c r="A509" s="21" t="s">
        <v>26</v>
      </c>
      <c r="B509" s="22"/>
      <c r="C509" s="3">
        <v>2015</v>
      </c>
      <c r="D509" s="3" t="s">
        <v>37</v>
      </c>
      <c r="E509" s="3" t="s">
        <v>37</v>
      </c>
      <c r="F509" s="3" t="s">
        <v>37</v>
      </c>
      <c r="G509" s="2">
        <v>30</v>
      </c>
      <c r="H509" s="21">
        <v>6</v>
      </c>
      <c r="I509" s="21">
        <f t="shared" si="85"/>
        <v>24</v>
      </c>
      <c r="J509" s="24">
        <f t="shared" si="86"/>
        <v>0.2</v>
      </c>
      <c r="K509" s="2">
        <v>0.140625</v>
      </c>
      <c r="L509" s="27">
        <f t="shared" si="87"/>
        <v>53.333333333333336</v>
      </c>
      <c r="M509" s="27" t="s">
        <v>37</v>
      </c>
      <c r="N509" s="27"/>
      <c r="O509" s="27" t="s">
        <v>37</v>
      </c>
      <c r="P509" s="27"/>
      <c r="Q509" s="27"/>
      <c r="R509" s="27"/>
      <c r="S509" s="27"/>
      <c r="T509" s="30"/>
      <c r="U509" s="30"/>
      <c r="V509" s="30"/>
      <c r="W509" s="30"/>
      <c r="X509" s="30"/>
      <c r="Y509" s="30"/>
      <c r="Z509" s="30"/>
      <c r="AA509" s="30"/>
      <c r="AB509" s="30"/>
      <c r="AD509" s="3" t="s">
        <v>273</v>
      </c>
      <c r="AE509" s="3">
        <v>1.1333333333333333</v>
      </c>
      <c r="AF509" s="2">
        <v>662.23333333333335</v>
      </c>
      <c r="AG509" s="30" t="s">
        <v>37</v>
      </c>
      <c r="AH509" s="30">
        <v>1</v>
      </c>
      <c r="AI509" s="30">
        <v>2</v>
      </c>
      <c r="AJ509" s="30">
        <v>0</v>
      </c>
      <c r="AK509" s="30"/>
      <c r="AL509" s="30"/>
    </row>
    <row r="510" spans="1:38" x14ac:dyDescent="0.25">
      <c r="A510" s="21" t="s">
        <v>19</v>
      </c>
      <c r="B510" s="22"/>
      <c r="C510" s="3">
        <v>2016</v>
      </c>
      <c r="D510" s="3" t="s">
        <v>37</v>
      </c>
      <c r="E510" s="3" t="s">
        <v>37</v>
      </c>
      <c r="F510" s="3" t="s">
        <v>37</v>
      </c>
      <c r="G510" s="25">
        <v>60</v>
      </c>
      <c r="H510" s="23">
        <v>6</v>
      </c>
      <c r="I510" s="21">
        <f t="shared" si="85"/>
        <v>54</v>
      </c>
      <c r="J510" s="24">
        <f t="shared" si="86"/>
        <v>0.1</v>
      </c>
      <c r="K510" s="2">
        <v>0.140625</v>
      </c>
      <c r="L510" s="27">
        <f t="shared" si="87"/>
        <v>106.66666666666667</v>
      </c>
      <c r="M510" s="27">
        <v>8.25</v>
      </c>
      <c r="N510" s="27"/>
      <c r="O510" s="27">
        <v>95</v>
      </c>
      <c r="P510" s="27"/>
      <c r="Q510" s="27"/>
      <c r="R510" s="27"/>
      <c r="S510" s="27"/>
      <c r="T510" s="30"/>
      <c r="U510" s="30"/>
      <c r="V510" s="30"/>
      <c r="W510" s="30"/>
      <c r="X510" s="30"/>
      <c r="Y510" s="30"/>
      <c r="Z510" s="30"/>
      <c r="AA510" s="30"/>
      <c r="AB510" s="30"/>
      <c r="AC510" s="2"/>
      <c r="AD510" s="3" t="s">
        <v>125</v>
      </c>
      <c r="AE510" s="3">
        <v>1.3333333333333333</v>
      </c>
      <c r="AF510" s="2">
        <v>791</v>
      </c>
      <c r="AG510" s="30">
        <v>39.85</v>
      </c>
      <c r="AH510" s="30">
        <v>1</v>
      </c>
      <c r="AI510" s="30">
        <v>2</v>
      </c>
      <c r="AJ510" s="30">
        <v>0</v>
      </c>
      <c r="AK510" s="30"/>
      <c r="AL510" s="30"/>
    </row>
    <row r="511" spans="1:38" x14ac:dyDescent="0.25">
      <c r="A511" s="21" t="s">
        <v>19</v>
      </c>
      <c r="B511" s="22"/>
      <c r="C511" s="3">
        <v>2016</v>
      </c>
      <c r="D511" s="3" t="s">
        <v>37</v>
      </c>
      <c r="E511" s="3" t="s">
        <v>37</v>
      </c>
      <c r="F511" s="3" t="s">
        <v>37</v>
      </c>
      <c r="G511" s="25">
        <v>29</v>
      </c>
      <c r="H511" s="23">
        <v>4</v>
      </c>
      <c r="I511" s="21">
        <f t="shared" si="85"/>
        <v>25</v>
      </c>
      <c r="J511" s="24">
        <f t="shared" si="86"/>
        <v>0.13793103448275862</v>
      </c>
      <c r="K511" s="2">
        <v>6.25E-2</v>
      </c>
      <c r="L511" s="27">
        <f t="shared" si="87"/>
        <v>116</v>
      </c>
      <c r="M511" s="27">
        <v>8.75</v>
      </c>
      <c r="N511" s="27"/>
      <c r="O511" s="27">
        <v>80</v>
      </c>
      <c r="P511" s="27"/>
      <c r="Q511" s="27"/>
      <c r="R511" s="27"/>
      <c r="S511" s="27"/>
      <c r="T511" s="30"/>
      <c r="U511" s="30"/>
      <c r="V511" s="30"/>
      <c r="W511" s="30"/>
      <c r="X511" s="30"/>
      <c r="Y511" s="30"/>
      <c r="Z511" s="30"/>
      <c r="AA511" s="30"/>
      <c r="AB511" s="30"/>
      <c r="AC511" s="2"/>
      <c r="AD511" s="3" t="s">
        <v>150</v>
      </c>
      <c r="AE511" s="3">
        <v>1.2413793103448276</v>
      </c>
      <c r="AF511" s="2">
        <v>929.96550000000002</v>
      </c>
      <c r="AG511" s="30">
        <v>48.5</v>
      </c>
      <c r="AH511" s="30">
        <v>1</v>
      </c>
      <c r="AI511" s="30">
        <v>2</v>
      </c>
      <c r="AJ511" s="30">
        <v>0</v>
      </c>
      <c r="AK511" s="30"/>
      <c r="AL511" s="30"/>
    </row>
    <row r="512" spans="1:38" x14ac:dyDescent="0.25">
      <c r="A512" s="21" t="s">
        <v>26</v>
      </c>
      <c r="B512" s="22"/>
      <c r="C512" s="3">
        <v>2016</v>
      </c>
      <c r="D512" s="3" t="s">
        <v>37</v>
      </c>
      <c r="E512" s="3" t="s">
        <v>37</v>
      </c>
      <c r="F512" s="3" t="s">
        <v>37</v>
      </c>
      <c r="G512" s="25">
        <v>2</v>
      </c>
      <c r="H512" s="23">
        <v>1</v>
      </c>
      <c r="I512" s="21">
        <f t="shared" si="85"/>
        <v>1</v>
      </c>
      <c r="J512" s="24">
        <f t="shared" si="86"/>
        <v>0.5</v>
      </c>
      <c r="K512" s="2">
        <v>0.25</v>
      </c>
      <c r="L512" s="27">
        <f t="shared" si="87"/>
        <v>2</v>
      </c>
      <c r="M512" s="27">
        <v>7.25</v>
      </c>
      <c r="N512" s="27"/>
      <c r="O512" s="27">
        <v>90</v>
      </c>
      <c r="P512" s="27"/>
      <c r="Q512" s="27"/>
      <c r="R512" s="27"/>
      <c r="S512" s="27"/>
      <c r="T512" s="30"/>
      <c r="U512" s="30"/>
      <c r="V512" s="30"/>
      <c r="W512" s="30"/>
      <c r="X512" s="30"/>
      <c r="Y512" s="30"/>
      <c r="Z512" s="30"/>
      <c r="AA512" s="30"/>
      <c r="AB512" s="30"/>
      <c r="AC512" s="2" t="s">
        <v>160</v>
      </c>
      <c r="AD512" s="3" t="s">
        <v>166</v>
      </c>
      <c r="AE512" s="3">
        <v>0.5</v>
      </c>
      <c r="AF512" s="2">
        <v>945</v>
      </c>
      <c r="AG512" s="30">
        <v>65.674999999999997</v>
      </c>
      <c r="AH512" s="30">
        <v>1</v>
      </c>
      <c r="AI512" s="30">
        <v>2</v>
      </c>
      <c r="AJ512" s="30">
        <v>0</v>
      </c>
      <c r="AK512" s="30"/>
      <c r="AL512" s="30"/>
    </row>
    <row r="513" spans="1:38" x14ac:dyDescent="0.25">
      <c r="A513" s="21" t="s">
        <v>26</v>
      </c>
      <c r="B513" s="22"/>
      <c r="C513" s="3">
        <v>2016</v>
      </c>
      <c r="D513" s="3" t="s">
        <v>37</v>
      </c>
      <c r="E513" s="3" t="s">
        <v>37</v>
      </c>
      <c r="F513" s="3" t="s">
        <v>37</v>
      </c>
      <c r="G513" s="25">
        <v>13</v>
      </c>
      <c r="H513" s="23">
        <v>9</v>
      </c>
      <c r="I513" s="21">
        <f t="shared" si="85"/>
        <v>4</v>
      </c>
      <c r="J513" s="24">
        <f t="shared" si="86"/>
        <v>0.69230769230769229</v>
      </c>
      <c r="K513" s="2">
        <v>0.25</v>
      </c>
      <c r="L513" s="27">
        <f t="shared" si="87"/>
        <v>13</v>
      </c>
      <c r="M513" s="27">
        <v>4.75</v>
      </c>
      <c r="N513" s="27"/>
      <c r="O513" s="27">
        <v>80</v>
      </c>
      <c r="P513" s="27"/>
      <c r="Q513" s="27"/>
      <c r="R513" s="27"/>
      <c r="S513" s="27"/>
      <c r="AC513" s="2" t="s">
        <v>160</v>
      </c>
      <c r="AD513" s="3" t="s">
        <v>169</v>
      </c>
      <c r="AE513" s="3">
        <v>2.1538461538461537</v>
      </c>
      <c r="AF513" s="2">
        <v>1333</v>
      </c>
      <c r="AG513" s="30">
        <v>69.724999999999994</v>
      </c>
      <c r="AH513" s="30">
        <v>1</v>
      </c>
      <c r="AI513" s="30">
        <v>2</v>
      </c>
      <c r="AJ513" s="30">
        <v>0</v>
      </c>
      <c r="AK513" s="30"/>
      <c r="AL513" s="30"/>
    </row>
    <row r="514" spans="1:38" x14ac:dyDescent="0.25">
      <c r="A514" s="21" t="s">
        <v>26</v>
      </c>
      <c r="B514" s="22"/>
      <c r="C514" s="3">
        <v>2016</v>
      </c>
      <c r="D514" s="3" t="s">
        <v>37</v>
      </c>
      <c r="E514" s="3" t="s">
        <v>37</v>
      </c>
      <c r="F514" s="3" t="s">
        <v>37</v>
      </c>
      <c r="G514" s="25">
        <v>36</v>
      </c>
      <c r="H514" s="23">
        <v>3</v>
      </c>
      <c r="I514" s="21">
        <f t="shared" si="85"/>
        <v>33</v>
      </c>
      <c r="J514" s="24">
        <f t="shared" si="86"/>
        <v>8.3333333333333329E-2</v>
      </c>
      <c r="K514" s="2">
        <v>0.25</v>
      </c>
      <c r="L514" s="27">
        <f t="shared" si="87"/>
        <v>36</v>
      </c>
      <c r="M514" s="27">
        <v>10.75</v>
      </c>
      <c r="N514" s="27"/>
      <c r="O514" s="27">
        <v>95</v>
      </c>
      <c r="P514" s="27"/>
      <c r="Q514" s="27"/>
      <c r="R514" s="27"/>
      <c r="S514" s="27"/>
      <c r="AC514" s="2" t="s">
        <v>160</v>
      </c>
      <c r="AD514" s="3" t="s">
        <v>170</v>
      </c>
      <c r="AE514" s="3">
        <v>0.83333333333333337</v>
      </c>
      <c r="AF514" s="2">
        <v>1032.5</v>
      </c>
      <c r="AG514" s="30">
        <v>68.75</v>
      </c>
      <c r="AH514" s="30">
        <v>1</v>
      </c>
      <c r="AI514" s="30">
        <v>2</v>
      </c>
      <c r="AJ514" s="30">
        <v>0</v>
      </c>
      <c r="AK514" s="30"/>
      <c r="AL514" s="30"/>
    </row>
    <row r="515" spans="1:38" x14ac:dyDescent="0.25">
      <c r="A515" s="21" t="s">
        <v>26</v>
      </c>
      <c r="B515" s="22"/>
      <c r="C515" s="3">
        <v>2016</v>
      </c>
      <c r="D515" s="3" t="s">
        <v>37</v>
      </c>
      <c r="E515" s="3" t="s">
        <v>37</v>
      </c>
      <c r="F515" s="3" t="s">
        <v>37</v>
      </c>
      <c r="G515" s="25">
        <v>32</v>
      </c>
      <c r="H515" s="23">
        <v>5</v>
      </c>
      <c r="I515" s="21">
        <f t="shared" si="85"/>
        <v>27</v>
      </c>
      <c r="J515" s="24">
        <f t="shared" si="86"/>
        <v>0.15625</v>
      </c>
      <c r="K515" s="2">
        <v>0.25</v>
      </c>
      <c r="L515" s="27">
        <f t="shared" si="87"/>
        <v>32</v>
      </c>
      <c r="M515" s="27">
        <v>14.5</v>
      </c>
      <c r="N515" s="27"/>
      <c r="O515" s="27">
        <v>90</v>
      </c>
      <c r="P515" s="27"/>
      <c r="Q515" s="27"/>
      <c r="R515" s="27"/>
      <c r="S515" s="27"/>
      <c r="T515" s="30"/>
      <c r="U515" s="30"/>
      <c r="V515" s="30"/>
      <c r="W515" s="30"/>
      <c r="X515" s="30"/>
      <c r="Y515" s="30"/>
      <c r="Z515" s="30"/>
      <c r="AA515" s="30"/>
      <c r="AB515" s="30"/>
      <c r="AC515" s="2" t="s">
        <v>178</v>
      </c>
      <c r="AD515" s="3" t="s">
        <v>177</v>
      </c>
      <c r="AE515" s="3">
        <v>1.09375</v>
      </c>
      <c r="AF515" s="2">
        <v>951.46879999999999</v>
      </c>
      <c r="AG515" s="30">
        <v>76.125</v>
      </c>
      <c r="AH515" s="30">
        <v>1</v>
      </c>
      <c r="AI515" s="30">
        <v>2</v>
      </c>
      <c r="AJ515" s="30">
        <v>0</v>
      </c>
      <c r="AK515" s="30"/>
      <c r="AL515" s="30"/>
    </row>
    <row r="516" spans="1:38" x14ac:dyDescent="0.25">
      <c r="A516" s="21" t="s">
        <v>26</v>
      </c>
      <c r="B516" s="22"/>
      <c r="C516" s="3">
        <v>2016</v>
      </c>
      <c r="D516" s="3" t="s">
        <v>37</v>
      </c>
      <c r="E516" s="3" t="s">
        <v>37</v>
      </c>
      <c r="F516" s="3" t="s">
        <v>37</v>
      </c>
      <c r="G516" s="25">
        <v>14</v>
      </c>
      <c r="H516" s="23">
        <v>2</v>
      </c>
      <c r="I516" s="21">
        <f t="shared" si="85"/>
        <v>12</v>
      </c>
      <c r="J516" s="24">
        <f t="shared" si="86"/>
        <v>0.14285714285714285</v>
      </c>
      <c r="K516" s="2">
        <v>0.25</v>
      </c>
      <c r="L516" s="27">
        <f t="shared" si="87"/>
        <v>14</v>
      </c>
      <c r="M516" s="27">
        <v>10</v>
      </c>
      <c r="N516" s="27"/>
      <c r="O516" s="27">
        <v>100</v>
      </c>
      <c r="P516" s="27"/>
      <c r="Q516" s="27"/>
      <c r="R516" s="27"/>
      <c r="S516" s="27"/>
      <c r="T516" s="30"/>
      <c r="U516" s="30"/>
      <c r="V516" s="30"/>
      <c r="W516" s="30"/>
      <c r="X516" s="30"/>
      <c r="Y516" s="30"/>
      <c r="Z516" s="30"/>
      <c r="AA516" s="30"/>
      <c r="AB516" s="30"/>
      <c r="AC516" s="2" t="s">
        <v>178</v>
      </c>
      <c r="AD516" s="3" t="s">
        <v>179</v>
      </c>
      <c r="AE516" s="3">
        <v>0.7857142857142857</v>
      </c>
      <c r="AF516" s="2">
        <v>745</v>
      </c>
      <c r="AG516" s="30">
        <v>66.174999999999997</v>
      </c>
      <c r="AH516" s="30">
        <v>1</v>
      </c>
      <c r="AI516" s="30">
        <v>2</v>
      </c>
      <c r="AJ516" s="30">
        <v>0</v>
      </c>
      <c r="AK516" s="30"/>
      <c r="AL516" s="30"/>
    </row>
    <row r="517" spans="1:38" x14ac:dyDescent="0.25">
      <c r="A517" s="21" t="s">
        <v>26</v>
      </c>
      <c r="B517" s="22"/>
      <c r="C517" s="3">
        <v>2016</v>
      </c>
      <c r="D517" s="3" t="s">
        <v>37</v>
      </c>
      <c r="E517" s="3" t="s">
        <v>37</v>
      </c>
      <c r="F517" s="3" t="s">
        <v>37</v>
      </c>
      <c r="G517" s="25">
        <v>18</v>
      </c>
      <c r="H517" s="23">
        <v>4</v>
      </c>
      <c r="I517" s="21">
        <f t="shared" si="85"/>
        <v>14</v>
      </c>
      <c r="J517" s="24">
        <f t="shared" si="86"/>
        <v>0.22222222222222221</v>
      </c>
      <c r="K517" s="2">
        <v>0.25</v>
      </c>
      <c r="L517" s="27">
        <f t="shared" si="87"/>
        <v>18</v>
      </c>
      <c r="M517" s="27">
        <v>13</v>
      </c>
      <c r="N517" s="27"/>
      <c r="O517" s="27">
        <v>95</v>
      </c>
      <c r="P517" s="27"/>
      <c r="Q517" s="27"/>
      <c r="R517" s="27"/>
      <c r="S517" s="27"/>
      <c r="T517" s="30"/>
      <c r="U517" s="30"/>
      <c r="V517" s="30"/>
      <c r="W517" s="30"/>
      <c r="X517" s="30"/>
      <c r="Y517" s="30"/>
      <c r="Z517" s="30"/>
      <c r="AA517" s="30"/>
      <c r="AB517" s="30"/>
      <c r="AC517" s="2" t="s">
        <v>178</v>
      </c>
      <c r="AD517" s="3" t="s">
        <v>235</v>
      </c>
      <c r="AE517" s="3">
        <v>1.1111111111111112</v>
      </c>
      <c r="AF517" s="2">
        <v>1164.444444</v>
      </c>
      <c r="AG517" s="30">
        <v>65.875</v>
      </c>
      <c r="AH517" s="30">
        <v>1</v>
      </c>
      <c r="AI517" s="30">
        <v>2</v>
      </c>
      <c r="AJ517" s="30">
        <v>0</v>
      </c>
      <c r="AK517" s="30"/>
      <c r="AL517" s="30"/>
    </row>
    <row r="518" spans="1:38" x14ac:dyDescent="0.25">
      <c r="A518" s="21" t="s">
        <v>26</v>
      </c>
      <c r="B518" s="22"/>
      <c r="C518" s="3">
        <v>2016</v>
      </c>
      <c r="D518" s="3" t="s">
        <v>37</v>
      </c>
      <c r="E518" s="3" t="s">
        <v>37</v>
      </c>
      <c r="F518" s="3" t="s">
        <v>37</v>
      </c>
      <c r="G518" s="25">
        <v>16</v>
      </c>
      <c r="H518" s="23">
        <v>3</v>
      </c>
      <c r="I518" s="21">
        <f t="shared" si="85"/>
        <v>13</v>
      </c>
      <c r="J518" s="24">
        <f t="shared" si="86"/>
        <v>0.1875</v>
      </c>
      <c r="K518" s="2">
        <v>0.25</v>
      </c>
      <c r="L518" s="27">
        <f t="shared" si="87"/>
        <v>16</v>
      </c>
      <c r="M518" s="27">
        <v>15.5</v>
      </c>
      <c r="N518" s="27"/>
      <c r="O518" s="27">
        <v>100</v>
      </c>
      <c r="P518" s="27"/>
      <c r="Q518" s="27"/>
      <c r="R518" s="27"/>
      <c r="S518" s="27"/>
      <c r="T518" s="30"/>
      <c r="U518" s="30"/>
      <c r="V518" s="30"/>
      <c r="W518" s="30"/>
      <c r="X518" s="30"/>
      <c r="Y518" s="30"/>
      <c r="Z518" s="30"/>
      <c r="AA518" s="30"/>
      <c r="AB518" s="30"/>
      <c r="AC518" s="2" t="s">
        <v>178</v>
      </c>
      <c r="AD518" s="3" t="s">
        <v>236</v>
      </c>
      <c r="AE518" s="3">
        <v>1.9375</v>
      </c>
      <c r="AF518" s="2">
        <v>1564</v>
      </c>
      <c r="AG518" s="30">
        <v>62.524999999999999</v>
      </c>
      <c r="AH518" s="30">
        <v>1</v>
      </c>
      <c r="AI518" s="30">
        <v>2</v>
      </c>
      <c r="AJ518" s="30">
        <v>0</v>
      </c>
      <c r="AK518" s="30"/>
      <c r="AL518" s="30"/>
    </row>
    <row r="519" spans="1:38" x14ac:dyDescent="0.25">
      <c r="A519" s="21" t="s">
        <v>26</v>
      </c>
      <c r="B519" s="22"/>
      <c r="C519" s="3">
        <v>2016</v>
      </c>
      <c r="D519" s="3" t="s">
        <v>37</v>
      </c>
      <c r="E519" s="3" t="s">
        <v>37</v>
      </c>
      <c r="F519" s="3" t="s">
        <v>37</v>
      </c>
      <c r="G519" s="25">
        <v>34</v>
      </c>
      <c r="H519" s="23">
        <v>2</v>
      </c>
      <c r="I519" s="21">
        <f t="shared" si="85"/>
        <v>32</v>
      </c>
      <c r="J519" s="24">
        <f t="shared" si="86"/>
        <v>5.8823529411764705E-2</v>
      </c>
      <c r="K519" s="2">
        <v>0.140625</v>
      </c>
      <c r="L519" s="27">
        <f t="shared" si="87"/>
        <v>60.444444444444443</v>
      </c>
      <c r="M519" s="27">
        <v>12</v>
      </c>
      <c r="N519" s="27"/>
      <c r="O519" s="27">
        <v>80</v>
      </c>
      <c r="P519" s="27"/>
      <c r="Q519" s="27"/>
      <c r="R519" s="27"/>
      <c r="S519" s="27"/>
      <c r="T519" s="30"/>
      <c r="U519" s="30"/>
      <c r="V519" s="30"/>
      <c r="W519" s="30"/>
      <c r="X519" s="30"/>
      <c r="Y519" s="30"/>
      <c r="Z519" s="30"/>
      <c r="AA519" s="30"/>
      <c r="AB519" s="30"/>
      <c r="AD519" s="3" t="s">
        <v>273</v>
      </c>
      <c r="AE519" s="3">
        <v>2.8235294117647056</v>
      </c>
      <c r="AF519" s="2">
        <v>913</v>
      </c>
      <c r="AG519" s="30">
        <v>60.55</v>
      </c>
      <c r="AH519" s="30">
        <v>1</v>
      </c>
      <c r="AI519" s="30">
        <v>2</v>
      </c>
      <c r="AJ519" s="30">
        <v>0</v>
      </c>
      <c r="AK519" s="30"/>
      <c r="AL519" s="30"/>
    </row>
    <row r="520" spans="1:38" x14ac:dyDescent="0.25">
      <c r="A520" s="21" t="s">
        <v>19</v>
      </c>
      <c r="B520" s="22"/>
      <c r="C520" s="3">
        <v>2017</v>
      </c>
      <c r="D520" s="3" t="s">
        <v>37</v>
      </c>
      <c r="E520" s="3" t="s">
        <v>37</v>
      </c>
      <c r="F520" s="3" t="s">
        <v>37</v>
      </c>
      <c r="G520" s="25">
        <v>80</v>
      </c>
      <c r="H520" s="23">
        <v>10</v>
      </c>
      <c r="I520" s="21">
        <f t="shared" si="85"/>
        <v>70</v>
      </c>
      <c r="J520" s="24">
        <f t="shared" si="86"/>
        <v>0.125</v>
      </c>
      <c r="K520" s="2">
        <v>0.140625</v>
      </c>
      <c r="L520" s="27">
        <f t="shared" si="87"/>
        <v>142.22222222222223</v>
      </c>
      <c r="M520" s="27">
        <v>9.5</v>
      </c>
      <c r="N520" s="27"/>
      <c r="O520" s="27">
        <v>95</v>
      </c>
      <c r="P520" s="27"/>
      <c r="Q520" s="27"/>
      <c r="R520" s="27"/>
      <c r="S520" s="27"/>
      <c r="T520" s="30"/>
      <c r="U520" s="30"/>
      <c r="V520" s="30"/>
      <c r="W520" s="30"/>
      <c r="X520" s="30"/>
      <c r="Y520" s="30"/>
      <c r="Z520" s="30"/>
      <c r="AA520" s="30"/>
      <c r="AB520" s="30"/>
      <c r="AC520" s="2"/>
      <c r="AD520" s="3" t="s">
        <v>125</v>
      </c>
      <c r="AE520" s="3">
        <v>0.5625</v>
      </c>
      <c r="AF520" s="2">
        <v>569.20000000000005</v>
      </c>
      <c r="AG520" s="30">
        <v>35.625</v>
      </c>
      <c r="AH520" s="30">
        <v>1</v>
      </c>
      <c r="AI520" s="30">
        <v>2</v>
      </c>
      <c r="AJ520" s="30">
        <v>0</v>
      </c>
      <c r="AK520" s="30"/>
      <c r="AL520" s="30"/>
    </row>
    <row r="521" spans="1:38" x14ac:dyDescent="0.25">
      <c r="A521" s="21" t="s">
        <v>19</v>
      </c>
      <c r="B521" s="22"/>
      <c r="C521" s="3">
        <v>2017</v>
      </c>
      <c r="D521" s="3" t="s">
        <v>37</v>
      </c>
      <c r="E521" s="3" t="s">
        <v>37</v>
      </c>
      <c r="F521" s="3" t="s">
        <v>37</v>
      </c>
      <c r="G521" s="25">
        <v>36</v>
      </c>
      <c r="H521" s="23">
        <v>1</v>
      </c>
      <c r="I521" s="21">
        <f t="shared" si="85"/>
        <v>35</v>
      </c>
      <c r="J521" s="24">
        <f t="shared" si="86"/>
        <v>2.7777777777777776E-2</v>
      </c>
      <c r="K521" s="2">
        <v>6.25E-2</v>
      </c>
      <c r="L521" s="27">
        <f t="shared" si="87"/>
        <v>144</v>
      </c>
      <c r="M521" s="27">
        <v>7.25</v>
      </c>
      <c r="N521" s="27"/>
      <c r="O521" s="27">
        <v>100</v>
      </c>
      <c r="P521" s="27"/>
      <c r="Q521" s="27"/>
      <c r="R521" s="27"/>
      <c r="S521" s="27"/>
      <c r="T521" s="30"/>
      <c r="U521" s="30"/>
      <c r="V521" s="30"/>
      <c r="W521" s="30"/>
      <c r="X521" s="30"/>
      <c r="Y521" s="30"/>
      <c r="Z521" s="30"/>
      <c r="AA521" s="30"/>
      <c r="AB521" s="30"/>
      <c r="AC521" s="2"/>
      <c r="AD521" s="3" t="s">
        <v>150</v>
      </c>
      <c r="AE521" s="3">
        <v>0.3611111111111111</v>
      </c>
      <c r="AF521" s="2">
        <v>912.63888888888891</v>
      </c>
      <c r="AG521" s="30">
        <v>40.450000000000003</v>
      </c>
      <c r="AH521" s="30">
        <v>1</v>
      </c>
      <c r="AI521" s="30">
        <v>2</v>
      </c>
      <c r="AJ521" s="30">
        <v>0</v>
      </c>
      <c r="AK521" s="30"/>
      <c r="AL521" s="30"/>
    </row>
    <row r="522" spans="1:38" x14ac:dyDescent="0.25">
      <c r="A522" s="21" t="s">
        <v>26</v>
      </c>
      <c r="B522" s="22"/>
      <c r="C522" s="3">
        <v>2017</v>
      </c>
      <c r="D522" s="3" t="s">
        <v>37</v>
      </c>
      <c r="E522" s="3" t="s">
        <v>37</v>
      </c>
      <c r="F522" s="3" t="s">
        <v>37</v>
      </c>
      <c r="G522" s="25">
        <v>1</v>
      </c>
      <c r="H522" s="23">
        <v>1</v>
      </c>
      <c r="I522" s="21">
        <f t="shared" si="85"/>
        <v>0</v>
      </c>
      <c r="J522" s="24">
        <f t="shared" si="86"/>
        <v>1</v>
      </c>
      <c r="K522" s="2">
        <v>0.25</v>
      </c>
      <c r="L522" s="27">
        <f t="shared" si="87"/>
        <v>1</v>
      </c>
      <c r="M522" s="27">
        <v>6.5</v>
      </c>
      <c r="N522" s="27"/>
      <c r="O522" s="27">
        <v>80</v>
      </c>
      <c r="P522" s="27"/>
      <c r="Q522" s="27"/>
      <c r="R522" s="27"/>
      <c r="S522" s="27"/>
      <c r="T522" s="30"/>
      <c r="U522" s="30"/>
      <c r="V522" s="30"/>
      <c r="W522" s="30"/>
      <c r="X522" s="30"/>
      <c r="Y522" s="30"/>
      <c r="Z522" s="30"/>
      <c r="AA522" s="30"/>
      <c r="AB522" s="30"/>
      <c r="AC522" s="2" t="s">
        <v>160</v>
      </c>
      <c r="AD522" s="3" t="s">
        <v>166</v>
      </c>
      <c r="AE522" s="3">
        <v>1</v>
      </c>
      <c r="AF522" s="2">
        <v>1378</v>
      </c>
      <c r="AG522" s="30">
        <v>57.35</v>
      </c>
      <c r="AH522" s="30">
        <v>1</v>
      </c>
      <c r="AI522" s="30">
        <v>2</v>
      </c>
      <c r="AJ522" s="30">
        <v>0</v>
      </c>
      <c r="AK522" s="30"/>
      <c r="AL522" s="30"/>
    </row>
    <row r="523" spans="1:38" x14ac:dyDescent="0.25">
      <c r="A523" s="21" t="s">
        <v>26</v>
      </c>
      <c r="B523" s="22"/>
      <c r="C523" s="3">
        <v>2017</v>
      </c>
      <c r="D523" s="3" t="s">
        <v>37</v>
      </c>
      <c r="E523" s="3" t="s">
        <v>37</v>
      </c>
      <c r="F523" s="3" t="s">
        <v>37</v>
      </c>
      <c r="G523" s="25">
        <v>28</v>
      </c>
      <c r="H523" s="23">
        <v>7</v>
      </c>
      <c r="I523" s="21">
        <f t="shared" si="85"/>
        <v>21</v>
      </c>
      <c r="J523" s="24">
        <f t="shared" si="86"/>
        <v>0.25</v>
      </c>
      <c r="K523" s="2">
        <v>0.25</v>
      </c>
      <c r="L523" s="27">
        <f t="shared" si="87"/>
        <v>28</v>
      </c>
      <c r="M523" s="27">
        <v>3</v>
      </c>
      <c r="N523" s="27"/>
      <c r="O523" s="27">
        <v>70</v>
      </c>
      <c r="P523" s="27"/>
      <c r="Q523" s="27"/>
      <c r="R523" s="27"/>
      <c r="S523" s="27"/>
      <c r="AC523" s="2" t="s">
        <v>160</v>
      </c>
      <c r="AD523" s="3" t="s">
        <v>169</v>
      </c>
      <c r="AE523" s="3">
        <v>0.8214285714285714</v>
      </c>
      <c r="AF523" s="2">
        <v>719.96428571428567</v>
      </c>
      <c r="AG523" s="30">
        <v>59.45</v>
      </c>
      <c r="AH523" s="30">
        <v>1</v>
      </c>
      <c r="AI523" s="30">
        <v>2</v>
      </c>
      <c r="AJ523" s="30">
        <v>0</v>
      </c>
      <c r="AK523" s="30"/>
      <c r="AL523" s="30"/>
    </row>
    <row r="524" spans="1:38" x14ac:dyDescent="0.25">
      <c r="A524" s="21" t="s">
        <v>26</v>
      </c>
      <c r="B524" s="22"/>
      <c r="C524" s="3">
        <v>2017</v>
      </c>
      <c r="D524" s="3" t="s">
        <v>37</v>
      </c>
      <c r="E524" s="3" t="s">
        <v>37</v>
      </c>
      <c r="F524" s="3" t="s">
        <v>37</v>
      </c>
      <c r="G524" s="25">
        <v>30</v>
      </c>
      <c r="H524" s="23">
        <v>11</v>
      </c>
      <c r="I524" s="21">
        <f t="shared" si="85"/>
        <v>19</v>
      </c>
      <c r="J524" s="24">
        <f t="shared" si="86"/>
        <v>0.36666666666666664</v>
      </c>
      <c r="K524" s="2">
        <v>0.25</v>
      </c>
      <c r="L524" s="27">
        <f t="shared" si="87"/>
        <v>30</v>
      </c>
      <c r="M524" s="27">
        <v>3.75</v>
      </c>
      <c r="N524" s="27"/>
      <c r="O524" s="27">
        <v>90</v>
      </c>
      <c r="P524" s="27"/>
      <c r="Q524" s="27"/>
      <c r="R524" s="27"/>
      <c r="S524" s="27"/>
      <c r="AC524" s="2" t="s">
        <v>160</v>
      </c>
      <c r="AD524" s="3" t="s">
        <v>170</v>
      </c>
      <c r="AE524" s="3">
        <v>0.46666666666666667</v>
      </c>
      <c r="AF524" s="2">
        <v>756.16666666666663</v>
      </c>
      <c r="AG524" s="30">
        <v>47.225000000000001</v>
      </c>
      <c r="AH524" s="30">
        <v>1</v>
      </c>
      <c r="AI524" s="30">
        <v>2</v>
      </c>
      <c r="AJ524" s="30">
        <v>0</v>
      </c>
      <c r="AK524" s="30"/>
      <c r="AL524" s="30"/>
    </row>
    <row r="525" spans="1:38" x14ac:dyDescent="0.25">
      <c r="A525" s="21" t="s">
        <v>26</v>
      </c>
      <c r="B525" s="22"/>
      <c r="C525" s="3">
        <v>2017</v>
      </c>
      <c r="D525" s="3" t="s">
        <v>37</v>
      </c>
      <c r="E525" s="3" t="s">
        <v>37</v>
      </c>
      <c r="F525" s="3" t="s">
        <v>37</v>
      </c>
      <c r="G525" s="25">
        <v>35</v>
      </c>
      <c r="H525" s="23">
        <v>7</v>
      </c>
      <c r="I525" s="21">
        <f t="shared" si="85"/>
        <v>28</v>
      </c>
      <c r="J525" s="24">
        <f t="shared" si="86"/>
        <v>0.2</v>
      </c>
      <c r="K525" s="2">
        <v>0.25</v>
      </c>
      <c r="L525" s="27">
        <f t="shared" si="87"/>
        <v>35</v>
      </c>
      <c r="M525" s="27">
        <v>7.25</v>
      </c>
      <c r="N525" s="27"/>
      <c r="O525" s="27">
        <v>90</v>
      </c>
      <c r="P525" s="27"/>
      <c r="Q525" s="27"/>
      <c r="R525" s="27"/>
      <c r="S525" s="27"/>
      <c r="T525" s="30"/>
      <c r="U525" s="30"/>
      <c r="V525" s="30"/>
      <c r="W525" s="30"/>
      <c r="X525" s="30"/>
      <c r="Y525" s="30"/>
      <c r="Z525" s="30"/>
      <c r="AA525" s="30"/>
      <c r="AB525" s="30"/>
      <c r="AC525" s="2" t="s">
        <v>178</v>
      </c>
      <c r="AD525" s="3" t="s">
        <v>177</v>
      </c>
      <c r="AE525" s="3">
        <v>0.45714285714285713</v>
      </c>
      <c r="AF525" s="2">
        <v>789.7714285714286</v>
      </c>
      <c r="AG525" s="30">
        <v>55.575000000000003</v>
      </c>
      <c r="AH525" s="30">
        <v>1</v>
      </c>
      <c r="AI525" s="30">
        <v>2</v>
      </c>
      <c r="AJ525" s="30">
        <v>0</v>
      </c>
      <c r="AK525" s="30"/>
      <c r="AL525" s="30"/>
    </row>
    <row r="526" spans="1:38" x14ac:dyDescent="0.25">
      <c r="A526" s="21" t="s">
        <v>26</v>
      </c>
      <c r="B526" s="22"/>
      <c r="C526" s="3">
        <v>2017</v>
      </c>
      <c r="D526" s="3" t="s">
        <v>37</v>
      </c>
      <c r="E526" s="3" t="s">
        <v>37</v>
      </c>
      <c r="F526" s="3" t="s">
        <v>37</v>
      </c>
      <c r="G526" s="25">
        <v>11</v>
      </c>
      <c r="H526" s="23">
        <v>1</v>
      </c>
      <c r="I526" s="21">
        <f t="shared" si="85"/>
        <v>10</v>
      </c>
      <c r="J526" s="24">
        <f t="shared" si="86"/>
        <v>9.0909090909090912E-2</v>
      </c>
      <c r="K526" s="2">
        <v>0.25</v>
      </c>
      <c r="L526" s="27">
        <f t="shared" si="87"/>
        <v>11</v>
      </c>
      <c r="M526" s="27">
        <v>10.25</v>
      </c>
      <c r="N526" s="27"/>
      <c r="O526" s="27">
        <v>95</v>
      </c>
      <c r="P526" s="27"/>
      <c r="Q526" s="27"/>
      <c r="R526" s="27"/>
      <c r="S526" s="27"/>
      <c r="T526" s="30"/>
      <c r="U526" s="30"/>
      <c r="V526" s="30"/>
      <c r="W526" s="30"/>
      <c r="X526" s="30"/>
      <c r="Y526" s="30"/>
      <c r="Z526" s="30"/>
      <c r="AA526" s="30"/>
      <c r="AB526" s="30"/>
      <c r="AC526" s="2" t="s">
        <v>178</v>
      </c>
      <c r="AD526" s="3" t="s">
        <v>179</v>
      </c>
      <c r="AE526" s="3">
        <v>0.54545454545454541</v>
      </c>
      <c r="AF526" s="2">
        <v>1074.4545454545455</v>
      </c>
      <c r="AG526" s="30">
        <v>60.5</v>
      </c>
      <c r="AH526" s="30">
        <v>1</v>
      </c>
      <c r="AI526" s="30">
        <v>2</v>
      </c>
      <c r="AJ526" s="30">
        <v>0</v>
      </c>
      <c r="AK526" s="30"/>
      <c r="AL526" s="30"/>
    </row>
    <row r="527" spans="1:38" x14ac:dyDescent="0.25">
      <c r="A527" s="21" t="s">
        <v>26</v>
      </c>
      <c r="B527" s="22"/>
      <c r="C527" s="3">
        <v>2017</v>
      </c>
      <c r="D527" s="3" t="s">
        <v>37</v>
      </c>
      <c r="E527" s="3" t="s">
        <v>37</v>
      </c>
      <c r="F527" s="3" t="s">
        <v>37</v>
      </c>
      <c r="G527" s="25">
        <v>20</v>
      </c>
      <c r="H527" s="23">
        <v>7</v>
      </c>
      <c r="I527" s="21">
        <f t="shared" si="85"/>
        <v>13</v>
      </c>
      <c r="J527" s="24">
        <f t="shared" si="86"/>
        <v>0.35</v>
      </c>
      <c r="K527" s="2">
        <v>0.25</v>
      </c>
      <c r="L527" s="27">
        <f t="shared" si="87"/>
        <v>20</v>
      </c>
      <c r="M527" s="27">
        <v>11.25</v>
      </c>
      <c r="N527" s="27"/>
      <c r="O527" s="27">
        <v>80</v>
      </c>
      <c r="P527" s="27"/>
      <c r="Q527" s="27"/>
      <c r="R527" s="27"/>
      <c r="S527" s="27"/>
      <c r="T527" s="30"/>
      <c r="U527" s="30"/>
      <c r="V527" s="30"/>
      <c r="W527" s="30"/>
      <c r="X527" s="30"/>
      <c r="Y527" s="30"/>
      <c r="Z527" s="30"/>
      <c r="AA527" s="30"/>
      <c r="AB527" s="30"/>
      <c r="AC527" s="2" t="s">
        <v>178</v>
      </c>
      <c r="AD527" s="3" t="s">
        <v>235</v>
      </c>
      <c r="AE527" s="3" t="s">
        <v>37</v>
      </c>
      <c r="AF527" s="2">
        <v>1274.2777777777778</v>
      </c>
      <c r="AG527" s="30">
        <v>59.375</v>
      </c>
      <c r="AH527" s="30">
        <v>1</v>
      </c>
      <c r="AI527" s="30">
        <v>2</v>
      </c>
      <c r="AJ527" s="30">
        <v>0</v>
      </c>
      <c r="AK527" s="30"/>
      <c r="AL527" s="30"/>
    </row>
    <row r="528" spans="1:38" x14ac:dyDescent="0.25">
      <c r="A528" s="21" t="s">
        <v>26</v>
      </c>
      <c r="B528" s="22"/>
      <c r="C528" s="3">
        <v>2017</v>
      </c>
      <c r="D528" s="3" t="s">
        <v>37</v>
      </c>
      <c r="E528" s="3" t="s">
        <v>37</v>
      </c>
      <c r="F528" s="3" t="s">
        <v>37</v>
      </c>
      <c r="G528" s="25">
        <v>31</v>
      </c>
      <c r="H528" s="23">
        <v>8</v>
      </c>
      <c r="I528" s="21">
        <f t="shared" si="85"/>
        <v>23</v>
      </c>
      <c r="J528" s="24">
        <f t="shared" si="86"/>
        <v>0.25806451612903225</v>
      </c>
      <c r="K528" s="2">
        <v>0.25</v>
      </c>
      <c r="L528" s="27">
        <f t="shared" si="87"/>
        <v>31</v>
      </c>
      <c r="M528" s="27">
        <v>7.75</v>
      </c>
      <c r="N528" s="27"/>
      <c r="O528" s="27">
        <v>90</v>
      </c>
      <c r="P528" s="27"/>
      <c r="Q528" s="27"/>
      <c r="R528" s="27"/>
      <c r="S528" s="27"/>
      <c r="T528" s="30"/>
      <c r="U528" s="30"/>
      <c r="V528" s="30"/>
      <c r="W528" s="30"/>
      <c r="X528" s="30"/>
      <c r="Y528" s="30"/>
      <c r="Z528" s="30"/>
      <c r="AA528" s="30"/>
      <c r="AB528" s="30"/>
      <c r="AC528" s="2" t="s">
        <v>178</v>
      </c>
      <c r="AD528" s="3" t="s">
        <v>236</v>
      </c>
      <c r="AE528" s="3" t="s">
        <v>37</v>
      </c>
      <c r="AF528" s="2">
        <v>1785.5483870967741</v>
      </c>
      <c r="AG528" s="30">
        <v>56.1</v>
      </c>
      <c r="AH528" s="30">
        <v>1</v>
      </c>
      <c r="AI528" s="30">
        <v>2</v>
      </c>
      <c r="AJ528" s="30">
        <v>0</v>
      </c>
      <c r="AK528" s="30"/>
      <c r="AL528" s="30"/>
    </row>
    <row r="529" spans="1:38" x14ac:dyDescent="0.25">
      <c r="A529" s="21" t="s">
        <v>26</v>
      </c>
      <c r="B529" s="22"/>
      <c r="C529" s="3">
        <v>2017</v>
      </c>
      <c r="D529" s="3" t="s">
        <v>37</v>
      </c>
      <c r="E529" s="3" t="s">
        <v>37</v>
      </c>
      <c r="F529" s="3" t="s">
        <v>37</v>
      </c>
      <c r="G529" s="25">
        <v>96</v>
      </c>
      <c r="H529" s="23">
        <v>12</v>
      </c>
      <c r="I529" s="21">
        <f t="shared" si="85"/>
        <v>84</v>
      </c>
      <c r="J529" s="24">
        <f t="shared" si="86"/>
        <v>0.125</v>
      </c>
      <c r="K529" s="2">
        <v>0.140625</v>
      </c>
      <c r="L529" s="27">
        <f t="shared" si="87"/>
        <v>170.66666666666666</v>
      </c>
      <c r="M529" s="27">
        <v>6</v>
      </c>
      <c r="N529" s="27"/>
      <c r="O529" s="27">
        <v>95</v>
      </c>
      <c r="P529" s="27"/>
      <c r="Q529" s="27"/>
      <c r="R529" s="27"/>
      <c r="S529" s="27"/>
      <c r="T529" s="30"/>
      <c r="U529" s="30"/>
      <c r="V529" s="30"/>
      <c r="W529" s="30"/>
      <c r="X529" s="30"/>
      <c r="Y529" s="30"/>
      <c r="Z529" s="30"/>
      <c r="AA529" s="30"/>
      <c r="AB529" s="30"/>
      <c r="AD529" s="3" t="s">
        <v>273</v>
      </c>
      <c r="AE529" s="3" t="s">
        <v>37</v>
      </c>
      <c r="AF529" s="2">
        <v>589.79166666666663</v>
      </c>
      <c r="AG529" s="30">
        <v>59.325000000000003</v>
      </c>
      <c r="AH529" s="30">
        <v>1</v>
      </c>
      <c r="AI529" s="30">
        <v>2</v>
      </c>
      <c r="AJ529" s="30">
        <v>0</v>
      </c>
      <c r="AK529" s="30"/>
      <c r="AL529" s="30"/>
    </row>
    <row r="530" spans="1:38" x14ac:dyDescent="0.25">
      <c r="A530" s="21" t="s">
        <v>19</v>
      </c>
      <c r="B530" s="22"/>
      <c r="C530" s="3">
        <v>2018</v>
      </c>
      <c r="D530" s="3" t="s">
        <v>37</v>
      </c>
      <c r="E530" s="3" t="s">
        <v>37</v>
      </c>
      <c r="F530" s="3" t="s">
        <v>37</v>
      </c>
      <c r="G530" s="30" t="s">
        <v>37</v>
      </c>
      <c r="H530" s="27" t="s">
        <v>37</v>
      </c>
      <c r="I530" s="27" t="s">
        <v>37</v>
      </c>
      <c r="J530" s="27" t="s">
        <v>37</v>
      </c>
      <c r="K530" s="2" t="s">
        <v>37</v>
      </c>
      <c r="L530" s="24" t="s">
        <v>37</v>
      </c>
      <c r="M530" s="27" t="s">
        <v>37</v>
      </c>
      <c r="N530" s="27"/>
      <c r="O530" s="27" t="s">
        <v>37</v>
      </c>
      <c r="P530" s="27"/>
      <c r="Q530" s="27"/>
      <c r="R530" s="27"/>
      <c r="S530" s="27"/>
      <c r="T530" s="30"/>
      <c r="U530" s="30"/>
      <c r="V530" s="30"/>
      <c r="W530" s="30"/>
      <c r="X530" s="30"/>
      <c r="Y530" s="30"/>
      <c r="Z530" s="30"/>
      <c r="AA530" s="30"/>
      <c r="AB530" s="30"/>
      <c r="AC530" s="2"/>
      <c r="AD530" s="3" t="s">
        <v>125</v>
      </c>
      <c r="AE530" s="3" t="s">
        <v>37</v>
      </c>
      <c r="AF530" s="30" t="s">
        <v>37</v>
      </c>
      <c r="AG530" s="30" t="s">
        <v>37</v>
      </c>
      <c r="AH530" s="30">
        <v>1</v>
      </c>
      <c r="AI530" s="30">
        <v>2</v>
      </c>
      <c r="AJ530" s="30">
        <v>0</v>
      </c>
      <c r="AK530" s="30"/>
      <c r="AL530" s="30"/>
    </row>
    <row r="531" spans="1:38" x14ac:dyDescent="0.25">
      <c r="A531" s="21" t="s">
        <v>19</v>
      </c>
      <c r="B531" s="22"/>
      <c r="C531" s="3">
        <v>2018</v>
      </c>
      <c r="D531" s="3" t="s">
        <v>37</v>
      </c>
      <c r="E531" s="3" t="s">
        <v>37</v>
      </c>
      <c r="F531" s="3" t="s">
        <v>37</v>
      </c>
      <c r="G531" s="30" t="s">
        <v>37</v>
      </c>
      <c r="H531" s="27" t="s">
        <v>37</v>
      </c>
      <c r="I531" s="27" t="s">
        <v>37</v>
      </c>
      <c r="J531" s="27" t="s">
        <v>37</v>
      </c>
      <c r="K531" s="2" t="s">
        <v>37</v>
      </c>
      <c r="L531" s="24" t="s">
        <v>37</v>
      </c>
      <c r="M531" s="27" t="s">
        <v>37</v>
      </c>
      <c r="N531" s="27"/>
      <c r="O531" s="27" t="s">
        <v>37</v>
      </c>
      <c r="P531" s="27"/>
      <c r="Q531" s="27"/>
      <c r="R531" s="27"/>
      <c r="S531" s="27"/>
      <c r="T531" s="30"/>
      <c r="U531" s="30"/>
      <c r="V531" s="30"/>
      <c r="W531" s="30"/>
      <c r="X531" s="30"/>
      <c r="Y531" s="30"/>
      <c r="Z531" s="30"/>
      <c r="AA531" s="30"/>
      <c r="AB531" s="30"/>
      <c r="AC531" s="2"/>
      <c r="AD531" s="3" t="s">
        <v>150</v>
      </c>
      <c r="AE531" s="3" t="s">
        <v>37</v>
      </c>
      <c r="AF531" s="30" t="s">
        <v>37</v>
      </c>
      <c r="AG531" s="30" t="s">
        <v>37</v>
      </c>
      <c r="AH531" s="30">
        <v>1</v>
      </c>
      <c r="AI531" s="30">
        <v>2</v>
      </c>
      <c r="AJ531" s="30">
        <v>0</v>
      </c>
      <c r="AK531" s="30"/>
      <c r="AL531" s="30"/>
    </row>
    <row r="532" spans="1:38" x14ac:dyDescent="0.25">
      <c r="A532" s="21" t="s">
        <v>26</v>
      </c>
      <c r="B532" s="22"/>
      <c r="C532" s="3">
        <v>2018</v>
      </c>
      <c r="D532" s="3" t="s">
        <v>37</v>
      </c>
      <c r="E532" s="3" t="s">
        <v>37</v>
      </c>
      <c r="F532" s="3" t="s">
        <v>37</v>
      </c>
      <c r="G532" s="30" t="s">
        <v>37</v>
      </c>
      <c r="H532" s="27" t="s">
        <v>37</v>
      </c>
      <c r="I532" s="27" t="s">
        <v>37</v>
      </c>
      <c r="J532" s="27" t="s">
        <v>37</v>
      </c>
      <c r="K532" s="2" t="s">
        <v>37</v>
      </c>
      <c r="L532" s="24" t="s">
        <v>37</v>
      </c>
      <c r="M532" s="27" t="s">
        <v>37</v>
      </c>
      <c r="N532" s="27"/>
      <c r="O532" s="27" t="s">
        <v>37</v>
      </c>
      <c r="P532" s="27"/>
      <c r="Q532" s="27"/>
      <c r="R532" s="27"/>
      <c r="S532" s="27"/>
      <c r="T532" s="30"/>
      <c r="U532" s="30"/>
      <c r="V532" s="30"/>
      <c r="W532" s="30"/>
      <c r="X532" s="30"/>
      <c r="Y532" s="30"/>
      <c r="Z532" s="30"/>
      <c r="AA532" s="30"/>
      <c r="AB532" s="30"/>
      <c r="AC532" s="2" t="s">
        <v>160</v>
      </c>
      <c r="AD532" s="3" t="s">
        <v>166</v>
      </c>
      <c r="AE532" s="3" t="s">
        <v>37</v>
      </c>
      <c r="AF532" s="30" t="s">
        <v>37</v>
      </c>
      <c r="AG532" s="30" t="s">
        <v>37</v>
      </c>
      <c r="AH532" s="30">
        <v>1</v>
      </c>
      <c r="AI532" s="30">
        <v>2</v>
      </c>
      <c r="AJ532" s="30">
        <v>0</v>
      </c>
      <c r="AK532" s="30"/>
      <c r="AL532" s="30"/>
    </row>
    <row r="533" spans="1:38" x14ac:dyDescent="0.25">
      <c r="A533" s="21" t="s">
        <v>26</v>
      </c>
      <c r="B533" s="22"/>
      <c r="C533" s="3">
        <v>2018</v>
      </c>
      <c r="D533" s="3" t="s">
        <v>37</v>
      </c>
      <c r="E533" s="3" t="s">
        <v>37</v>
      </c>
      <c r="F533" s="3" t="s">
        <v>37</v>
      </c>
      <c r="G533" s="30" t="s">
        <v>37</v>
      </c>
      <c r="H533" s="27" t="s">
        <v>37</v>
      </c>
      <c r="I533" s="27" t="s">
        <v>37</v>
      </c>
      <c r="J533" s="27" t="s">
        <v>37</v>
      </c>
      <c r="K533" s="2" t="s">
        <v>37</v>
      </c>
      <c r="L533" s="24" t="s">
        <v>37</v>
      </c>
      <c r="M533" s="27" t="s">
        <v>37</v>
      </c>
      <c r="N533" s="27"/>
      <c r="O533" s="27" t="s">
        <v>37</v>
      </c>
      <c r="P533" s="27"/>
      <c r="Q533" s="27"/>
      <c r="R533" s="27"/>
      <c r="S533" s="27"/>
      <c r="AC533" s="2" t="s">
        <v>160</v>
      </c>
      <c r="AD533" s="3" t="s">
        <v>169</v>
      </c>
      <c r="AE533" s="3" t="s">
        <v>37</v>
      </c>
      <c r="AF533" s="30" t="s">
        <v>37</v>
      </c>
      <c r="AG533" s="30" t="s">
        <v>37</v>
      </c>
      <c r="AH533" s="30">
        <v>1</v>
      </c>
      <c r="AI533" s="30">
        <v>2</v>
      </c>
      <c r="AJ533" s="30">
        <v>0</v>
      </c>
      <c r="AK533" s="30"/>
      <c r="AL533" s="30"/>
    </row>
    <row r="534" spans="1:38" x14ac:dyDescent="0.25">
      <c r="A534" s="21" t="s">
        <v>26</v>
      </c>
      <c r="B534" s="22"/>
      <c r="C534" s="3">
        <v>2018</v>
      </c>
      <c r="D534" s="3" t="s">
        <v>37</v>
      </c>
      <c r="E534" s="3" t="s">
        <v>37</v>
      </c>
      <c r="F534" s="3" t="s">
        <v>37</v>
      </c>
      <c r="G534" s="30" t="s">
        <v>37</v>
      </c>
      <c r="H534" s="27" t="s">
        <v>37</v>
      </c>
      <c r="I534" s="27" t="s">
        <v>37</v>
      </c>
      <c r="J534" s="27" t="s">
        <v>37</v>
      </c>
      <c r="K534" s="2" t="s">
        <v>37</v>
      </c>
      <c r="L534" s="24" t="s">
        <v>37</v>
      </c>
      <c r="M534" s="27" t="s">
        <v>37</v>
      </c>
      <c r="N534" s="27"/>
      <c r="O534" s="27" t="s">
        <v>37</v>
      </c>
      <c r="P534" s="27"/>
      <c r="Q534" s="27"/>
      <c r="R534" s="27"/>
      <c r="S534" s="27"/>
      <c r="AC534" s="2" t="s">
        <v>160</v>
      </c>
      <c r="AD534" s="3" t="s">
        <v>170</v>
      </c>
      <c r="AE534" s="3" t="s">
        <v>37</v>
      </c>
      <c r="AF534" s="30" t="s">
        <v>37</v>
      </c>
      <c r="AG534" s="30" t="s">
        <v>37</v>
      </c>
      <c r="AH534" s="30">
        <v>1</v>
      </c>
      <c r="AI534" s="30">
        <v>2</v>
      </c>
      <c r="AJ534" s="30">
        <v>0</v>
      </c>
      <c r="AK534" s="30"/>
      <c r="AL534" s="30"/>
    </row>
    <row r="535" spans="1:38" x14ac:dyDescent="0.25">
      <c r="A535" s="21" t="s">
        <v>26</v>
      </c>
      <c r="B535" s="22"/>
      <c r="C535" s="3">
        <v>2018</v>
      </c>
      <c r="D535" s="3" t="s">
        <v>37</v>
      </c>
      <c r="E535" s="3" t="s">
        <v>37</v>
      </c>
      <c r="F535" s="3" t="s">
        <v>37</v>
      </c>
      <c r="G535" s="30" t="s">
        <v>37</v>
      </c>
      <c r="H535" s="27" t="s">
        <v>37</v>
      </c>
      <c r="I535" s="27" t="s">
        <v>37</v>
      </c>
      <c r="J535" s="27" t="s">
        <v>37</v>
      </c>
      <c r="K535" s="2" t="s">
        <v>37</v>
      </c>
      <c r="L535" s="24" t="s">
        <v>37</v>
      </c>
      <c r="M535" s="27" t="s">
        <v>37</v>
      </c>
      <c r="N535" s="27"/>
      <c r="O535" s="27" t="s">
        <v>37</v>
      </c>
      <c r="P535" s="27"/>
      <c r="Q535" s="27"/>
      <c r="R535" s="27"/>
      <c r="S535" s="27"/>
      <c r="T535" s="30"/>
      <c r="U535" s="30"/>
      <c r="V535" s="30"/>
      <c r="W535" s="30"/>
      <c r="X535" s="30"/>
      <c r="Y535" s="30"/>
      <c r="Z535" s="30"/>
      <c r="AA535" s="30"/>
      <c r="AB535" s="30"/>
      <c r="AC535" s="2" t="s">
        <v>178</v>
      </c>
      <c r="AD535" s="3" t="s">
        <v>177</v>
      </c>
      <c r="AE535" s="3" t="s">
        <v>37</v>
      </c>
      <c r="AF535" s="30" t="s">
        <v>37</v>
      </c>
      <c r="AG535" s="30" t="s">
        <v>37</v>
      </c>
      <c r="AH535" s="30">
        <v>1</v>
      </c>
      <c r="AI535" s="30">
        <v>2</v>
      </c>
      <c r="AJ535" s="30">
        <v>0</v>
      </c>
      <c r="AK535" s="30"/>
      <c r="AL535" s="30"/>
    </row>
    <row r="536" spans="1:38" x14ac:dyDescent="0.25">
      <c r="A536" s="21" t="s">
        <v>26</v>
      </c>
      <c r="B536" s="22"/>
      <c r="C536" s="3">
        <v>2018</v>
      </c>
      <c r="D536" s="3" t="s">
        <v>37</v>
      </c>
      <c r="E536" s="3" t="s">
        <v>37</v>
      </c>
      <c r="F536" s="3" t="s">
        <v>37</v>
      </c>
      <c r="G536" s="30" t="s">
        <v>37</v>
      </c>
      <c r="H536" s="27" t="s">
        <v>37</v>
      </c>
      <c r="I536" s="27" t="s">
        <v>37</v>
      </c>
      <c r="J536" s="27" t="s">
        <v>37</v>
      </c>
      <c r="K536" s="2" t="s">
        <v>37</v>
      </c>
      <c r="L536" s="24" t="s">
        <v>37</v>
      </c>
      <c r="M536" s="27" t="s">
        <v>37</v>
      </c>
      <c r="N536" s="27"/>
      <c r="O536" s="27" t="s">
        <v>37</v>
      </c>
      <c r="P536" s="27"/>
      <c r="Q536" s="27"/>
      <c r="R536" s="27"/>
      <c r="S536" s="27"/>
      <c r="T536" s="30"/>
      <c r="U536" s="30"/>
      <c r="V536" s="30"/>
      <c r="W536" s="30"/>
      <c r="X536" s="30"/>
      <c r="Y536" s="30"/>
      <c r="Z536" s="30"/>
      <c r="AA536" s="30"/>
      <c r="AB536" s="30"/>
      <c r="AC536" s="2" t="s">
        <v>178</v>
      </c>
      <c r="AD536" s="3" t="s">
        <v>179</v>
      </c>
      <c r="AE536" s="3" t="s">
        <v>37</v>
      </c>
      <c r="AF536" s="30" t="s">
        <v>37</v>
      </c>
      <c r="AG536" s="30" t="s">
        <v>37</v>
      </c>
      <c r="AH536" s="30">
        <v>1</v>
      </c>
      <c r="AI536" s="30">
        <v>2</v>
      </c>
      <c r="AJ536" s="30">
        <v>0</v>
      </c>
      <c r="AK536" s="30"/>
      <c r="AL536" s="30"/>
    </row>
    <row r="537" spans="1:38" x14ac:dyDescent="0.25">
      <c r="A537" s="21" t="s">
        <v>26</v>
      </c>
      <c r="B537" s="22"/>
      <c r="C537" s="3">
        <v>2018</v>
      </c>
      <c r="D537" s="3" t="s">
        <v>37</v>
      </c>
      <c r="E537" s="3" t="s">
        <v>37</v>
      </c>
      <c r="F537" s="3" t="s">
        <v>37</v>
      </c>
      <c r="G537" s="30" t="s">
        <v>37</v>
      </c>
      <c r="H537" s="27" t="s">
        <v>37</v>
      </c>
      <c r="I537" s="27" t="s">
        <v>37</v>
      </c>
      <c r="J537" s="27" t="s">
        <v>37</v>
      </c>
      <c r="K537" s="2" t="s">
        <v>37</v>
      </c>
      <c r="L537" s="24" t="s">
        <v>37</v>
      </c>
      <c r="M537" s="27" t="s">
        <v>37</v>
      </c>
      <c r="N537" s="27"/>
      <c r="O537" s="27" t="s">
        <v>37</v>
      </c>
      <c r="P537" s="27"/>
      <c r="Q537" s="27"/>
      <c r="R537" s="27"/>
      <c r="S537" s="27"/>
      <c r="T537" s="30"/>
      <c r="U537" s="30"/>
      <c r="V537" s="30"/>
      <c r="W537" s="30"/>
      <c r="X537" s="30"/>
      <c r="Y537" s="30"/>
      <c r="Z537" s="30"/>
      <c r="AA537" s="30"/>
      <c r="AB537" s="30"/>
      <c r="AC537" s="2" t="s">
        <v>178</v>
      </c>
      <c r="AD537" s="3" t="s">
        <v>235</v>
      </c>
      <c r="AE537" s="3" t="s">
        <v>37</v>
      </c>
      <c r="AF537" s="30" t="s">
        <v>37</v>
      </c>
      <c r="AG537" s="30" t="s">
        <v>37</v>
      </c>
      <c r="AH537" s="30">
        <v>1</v>
      </c>
      <c r="AI537" s="30">
        <v>2</v>
      </c>
      <c r="AJ537" s="30">
        <v>0</v>
      </c>
      <c r="AK537" s="30"/>
      <c r="AL537" s="30"/>
    </row>
    <row r="538" spans="1:38" x14ac:dyDescent="0.25">
      <c r="A538" s="21" t="s">
        <v>26</v>
      </c>
      <c r="B538" s="22"/>
      <c r="C538" s="3">
        <v>2018</v>
      </c>
      <c r="D538" s="3" t="s">
        <v>37</v>
      </c>
      <c r="E538" s="3" t="s">
        <v>37</v>
      </c>
      <c r="F538" s="3" t="s">
        <v>37</v>
      </c>
      <c r="G538" s="30" t="s">
        <v>37</v>
      </c>
      <c r="H538" s="27" t="s">
        <v>37</v>
      </c>
      <c r="I538" s="27" t="s">
        <v>37</v>
      </c>
      <c r="J538" s="27" t="s">
        <v>37</v>
      </c>
      <c r="K538" s="2" t="s">
        <v>37</v>
      </c>
      <c r="L538" s="24" t="s">
        <v>37</v>
      </c>
      <c r="M538" s="27" t="s">
        <v>37</v>
      </c>
      <c r="N538" s="27"/>
      <c r="O538" s="27" t="s">
        <v>37</v>
      </c>
      <c r="P538" s="27"/>
      <c r="Q538" s="27"/>
      <c r="R538" s="27"/>
      <c r="S538" s="27"/>
      <c r="T538" s="30"/>
      <c r="U538" s="30"/>
      <c r="V538" s="30"/>
      <c r="W538" s="30"/>
      <c r="X538" s="30"/>
      <c r="Y538" s="30"/>
      <c r="Z538" s="30"/>
      <c r="AA538" s="30"/>
      <c r="AB538" s="30"/>
      <c r="AC538" s="2" t="s">
        <v>178</v>
      </c>
      <c r="AD538" s="3" t="s">
        <v>236</v>
      </c>
      <c r="AE538" s="3" t="s">
        <v>37</v>
      </c>
      <c r="AF538" s="30" t="s">
        <v>37</v>
      </c>
      <c r="AG538" s="30" t="s">
        <v>37</v>
      </c>
      <c r="AH538" s="30">
        <v>1</v>
      </c>
      <c r="AI538" s="30">
        <v>2</v>
      </c>
      <c r="AJ538" s="30">
        <v>0</v>
      </c>
      <c r="AK538" s="30"/>
      <c r="AL538" s="30"/>
    </row>
    <row r="539" spans="1:38" x14ac:dyDescent="0.25">
      <c r="A539" s="21" t="s">
        <v>26</v>
      </c>
      <c r="B539" s="22"/>
      <c r="C539" s="3">
        <v>2018</v>
      </c>
      <c r="D539" s="3" t="s">
        <v>37</v>
      </c>
      <c r="E539" s="3" t="s">
        <v>37</v>
      </c>
      <c r="F539" s="3" t="s">
        <v>37</v>
      </c>
      <c r="G539" s="30" t="s">
        <v>37</v>
      </c>
      <c r="H539" s="27" t="s">
        <v>37</v>
      </c>
      <c r="I539" s="27" t="s">
        <v>37</v>
      </c>
      <c r="J539" s="27" t="s">
        <v>37</v>
      </c>
      <c r="K539" s="2" t="s">
        <v>37</v>
      </c>
      <c r="L539" s="24" t="s">
        <v>37</v>
      </c>
      <c r="M539" s="27" t="s">
        <v>37</v>
      </c>
      <c r="N539" s="27"/>
      <c r="O539" s="27" t="s">
        <v>37</v>
      </c>
      <c r="P539" s="27"/>
      <c r="Q539" s="27"/>
      <c r="R539" s="27"/>
      <c r="S539" s="27"/>
      <c r="T539" s="30"/>
      <c r="U539" s="30"/>
      <c r="V539" s="30"/>
      <c r="W539" s="30"/>
      <c r="X539" s="30"/>
      <c r="Y539" s="30"/>
      <c r="Z539" s="30"/>
      <c r="AA539" s="30"/>
      <c r="AB539" s="30"/>
      <c r="AD539" s="3" t="s">
        <v>273</v>
      </c>
      <c r="AE539" s="3" t="s">
        <v>37</v>
      </c>
      <c r="AF539" s="30" t="s">
        <v>37</v>
      </c>
      <c r="AG539" s="30" t="s">
        <v>37</v>
      </c>
      <c r="AH539" s="30">
        <v>1</v>
      </c>
      <c r="AI539" s="30">
        <v>2</v>
      </c>
      <c r="AJ539" s="30">
        <v>0</v>
      </c>
      <c r="AK539" s="30"/>
      <c r="AL539" s="30"/>
    </row>
    <row r="540" spans="1:38" x14ac:dyDescent="0.25">
      <c r="A540" s="21" t="s">
        <v>19</v>
      </c>
      <c r="B540" s="22"/>
      <c r="C540" s="3">
        <v>2019</v>
      </c>
      <c r="D540" s="3" t="s">
        <v>37</v>
      </c>
      <c r="E540" s="3" t="s">
        <v>37</v>
      </c>
      <c r="F540" s="3" t="s">
        <v>37</v>
      </c>
      <c r="G540" s="30">
        <f t="shared" ref="G540:G546" si="88">SUM(H540:I540)</f>
        <v>80</v>
      </c>
      <c r="H540" s="27">
        <v>19</v>
      </c>
      <c r="I540" s="21">
        <v>61</v>
      </c>
      <c r="J540" s="24">
        <f t="shared" ref="J540:J546" si="89">H540/G540</f>
        <v>0.23749999999999999</v>
      </c>
      <c r="K540" s="30">
        <v>0.25</v>
      </c>
      <c r="L540" s="27">
        <f t="shared" ref="L540:L546" si="90">G540/(K540/0.25)</f>
        <v>80</v>
      </c>
      <c r="M540" s="27">
        <v>14</v>
      </c>
      <c r="N540" s="27"/>
      <c r="O540" s="27">
        <v>55</v>
      </c>
      <c r="P540" s="27">
        <v>15</v>
      </c>
      <c r="Q540" s="27"/>
      <c r="R540" s="27"/>
      <c r="S540" s="27"/>
      <c r="T540" s="30"/>
      <c r="U540" s="30"/>
      <c r="V540" s="30"/>
      <c r="W540" s="30"/>
      <c r="X540" s="30"/>
      <c r="Y540" s="30"/>
      <c r="Z540" s="30"/>
      <c r="AA540" s="30"/>
      <c r="AB540" s="30"/>
      <c r="AC540" s="2"/>
      <c r="AD540" s="3" t="s">
        <v>125</v>
      </c>
      <c r="AE540" s="3">
        <v>0.76249999999999996</v>
      </c>
      <c r="AF540" s="30" t="s">
        <v>37</v>
      </c>
      <c r="AG540" s="30" t="s">
        <v>37</v>
      </c>
      <c r="AH540" s="30">
        <v>1</v>
      </c>
      <c r="AI540" s="30">
        <v>2</v>
      </c>
      <c r="AJ540" s="30">
        <v>0</v>
      </c>
      <c r="AK540" s="32">
        <v>43642</v>
      </c>
      <c r="AL540" s="30">
        <v>5</v>
      </c>
    </row>
    <row r="541" spans="1:38" x14ac:dyDescent="0.25">
      <c r="A541" s="21" t="s">
        <v>19</v>
      </c>
      <c r="B541" s="22"/>
      <c r="C541" s="3">
        <v>2019</v>
      </c>
      <c r="D541" s="3" t="s">
        <v>37</v>
      </c>
      <c r="E541" s="3" t="s">
        <v>37</v>
      </c>
      <c r="F541" s="3" t="s">
        <v>37</v>
      </c>
      <c r="G541" s="30">
        <f t="shared" si="88"/>
        <v>52</v>
      </c>
      <c r="H541" s="27">
        <v>16</v>
      </c>
      <c r="I541" s="21">
        <v>36</v>
      </c>
      <c r="J541" s="24">
        <f t="shared" si="89"/>
        <v>0.30769230769230771</v>
      </c>
      <c r="K541" s="30">
        <v>0.25</v>
      </c>
      <c r="L541" s="27">
        <f t="shared" si="90"/>
        <v>52</v>
      </c>
      <c r="M541" s="27">
        <v>9.25</v>
      </c>
      <c r="N541" s="27"/>
      <c r="O541" s="27">
        <v>80</v>
      </c>
      <c r="P541" s="27">
        <v>1</v>
      </c>
      <c r="Q541" s="27"/>
      <c r="R541" s="27"/>
      <c r="S541" s="27"/>
      <c r="T541" s="30"/>
      <c r="U541" s="30"/>
      <c r="V541" s="30"/>
      <c r="W541" s="30"/>
      <c r="X541" s="30"/>
      <c r="Y541" s="30"/>
      <c r="Z541" s="30"/>
      <c r="AA541" s="30"/>
      <c r="AB541" s="30"/>
      <c r="AC541" s="2"/>
      <c r="AD541" s="3" t="s">
        <v>150</v>
      </c>
      <c r="AE541" s="3">
        <v>1.3269230769230769</v>
      </c>
      <c r="AF541" s="30" t="s">
        <v>37</v>
      </c>
      <c r="AG541" s="30" t="s">
        <v>37</v>
      </c>
      <c r="AH541" s="30">
        <v>1</v>
      </c>
      <c r="AI541" s="30">
        <v>2</v>
      </c>
      <c r="AJ541" s="30">
        <v>0</v>
      </c>
      <c r="AK541" s="32">
        <v>43642</v>
      </c>
      <c r="AL541" s="30">
        <v>2</v>
      </c>
    </row>
    <row r="542" spans="1:38" x14ac:dyDescent="0.25">
      <c r="A542" s="21" t="s">
        <v>26</v>
      </c>
      <c r="B542" s="22"/>
      <c r="C542" s="3">
        <v>2019</v>
      </c>
      <c r="D542" s="3" t="s">
        <v>37</v>
      </c>
      <c r="E542" s="3" t="s">
        <v>37</v>
      </c>
      <c r="F542" s="3" t="s">
        <v>37</v>
      </c>
      <c r="G542" s="30">
        <f t="shared" si="88"/>
        <v>1</v>
      </c>
      <c r="H542" s="27">
        <v>1</v>
      </c>
      <c r="I542" s="21">
        <v>0</v>
      </c>
      <c r="J542" s="24">
        <f t="shared" si="89"/>
        <v>1</v>
      </c>
      <c r="K542" s="30">
        <v>0.25</v>
      </c>
      <c r="L542" s="27">
        <f t="shared" si="90"/>
        <v>1</v>
      </c>
      <c r="M542" s="27">
        <f>(8+7+6+8)/4</f>
        <v>7.25</v>
      </c>
      <c r="N542" s="27"/>
      <c r="O542" s="27">
        <v>80</v>
      </c>
      <c r="P542" s="27">
        <v>30</v>
      </c>
      <c r="Q542" s="27"/>
      <c r="R542" s="27"/>
      <c r="S542" s="27"/>
      <c r="T542" s="30"/>
      <c r="U542" s="30"/>
      <c r="V542" s="30"/>
      <c r="W542" s="30"/>
      <c r="X542" s="30"/>
      <c r="Y542" s="30"/>
      <c r="Z542" s="30"/>
      <c r="AA542" s="30"/>
      <c r="AB542" s="30"/>
      <c r="AC542" s="2" t="s">
        <v>160</v>
      </c>
      <c r="AD542" s="3" t="s">
        <v>166</v>
      </c>
      <c r="AE542" s="3" t="s">
        <v>37</v>
      </c>
      <c r="AF542" s="30" t="s">
        <v>37</v>
      </c>
      <c r="AG542" s="30" t="s">
        <v>37</v>
      </c>
      <c r="AH542" s="30">
        <v>1</v>
      </c>
      <c r="AI542" s="30">
        <v>2</v>
      </c>
      <c r="AJ542" s="30">
        <v>0</v>
      </c>
      <c r="AK542" s="32">
        <v>43623</v>
      </c>
      <c r="AL542" s="30">
        <v>2</v>
      </c>
    </row>
    <row r="543" spans="1:38" x14ac:dyDescent="0.25">
      <c r="A543" s="21" t="s">
        <v>26</v>
      </c>
      <c r="B543" s="22"/>
      <c r="C543" s="3">
        <v>2019</v>
      </c>
      <c r="D543" s="3" t="s">
        <v>37</v>
      </c>
      <c r="E543" s="3" t="s">
        <v>37</v>
      </c>
      <c r="F543" s="3" t="s">
        <v>37</v>
      </c>
      <c r="G543" s="30">
        <f t="shared" si="88"/>
        <v>23</v>
      </c>
      <c r="H543" s="27">
        <v>8</v>
      </c>
      <c r="I543" s="21">
        <v>15</v>
      </c>
      <c r="J543" s="24">
        <f t="shared" si="89"/>
        <v>0.34782608695652173</v>
      </c>
      <c r="K543" s="30">
        <v>0.25</v>
      </c>
      <c r="L543" s="27">
        <f t="shared" si="90"/>
        <v>23</v>
      </c>
      <c r="M543" s="27">
        <f>(10+8+5+12)/4</f>
        <v>8.75</v>
      </c>
      <c r="N543" s="27"/>
      <c r="O543" s="27">
        <v>80</v>
      </c>
      <c r="P543" s="27">
        <v>25</v>
      </c>
      <c r="Q543" s="27"/>
      <c r="R543" s="27"/>
      <c r="S543" s="27"/>
      <c r="AC543" s="2" t="s">
        <v>160</v>
      </c>
      <c r="AD543" s="3" t="s">
        <v>169</v>
      </c>
      <c r="AE543" s="3">
        <v>1.9565217391304348</v>
      </c>
      <c r="AF543" s="30" t="s">
        <v>37</v>
      </c>
      <c r="AG543" s="30" t="s">
        <v>37</v>
      </c>
      <c r="AH543" s="30">
        <v>1</v>
      </c>
      <c r="AI543" s="30">
        <v>2</v>
      </c>
      <c r="AJ543" s="30">
        <v>0</v>
      </c>
      <c r="AK543" s="32">
        <v>43623</v>
      </c>
      <c r="AL543" s="30">
        <v>6</v>
      </c>
    </row>
    <row r="544" spans="1:38" x14ac:dyDescent="0.25">
      <c r="A544" s="21" t="s">
        <v>26</v>
      </c>
      <c r="B544" s="22"/>
      <c r="C544" s="3">
        <v>2019</v>
      </c>
      <c r="D544" s="3" t="s">
        <v>37</v>
      </c>
      <c r="E544" s="3" t="s">
        <v>37</v>
      </c>
      <c r="F544" s="3" t="s">
        <v>37</v>
      </c>
      <c r="G544" s="30">
        <f t="shared" si="88"/>
        <v>14</v>
      </c>
      <c r="H544" s="27">
        <v>2</v>
      </c>
      <c r="I544" s="21">
        <v>12</v>
      </c>
      <c r="J544" s="24">
        <f t="shared" si="89"/>
        <v>0.14285714285714285</v>
      </c>
      <c r="K544" s="30">
        <v>0.25</v>
      </c>
      <c r="L544" s="27">
        <f t="shared" si="90"/>
        <v>14</v>
      </c>
      <c r="M544" s="27">
        <f>(12+15+16+14)/4</f>
        <v>14.25</v>
      </c>
      <c r="N544" s="27"/>
      <c r="O544" s="27">
        <v>60</v>
      </c>
      <c r="P544" s="27">
        <v>50</v>
      </c>
      <c r="Q544" s="27"/>
      <c r="R544" s="27"/>
      <c r="S544" s="27"/>
      <c r="AC544" s="2" t="s">
        <v>160</v>
      </c>
      <c r="AD544" s="3" t="s">
        <v>170</v>
      </c>
      <c r="AE544" s="3">
        <v>0.9285714285714286</v>
      </c>
      <c r="AF544" s="30" t="s">
        <v>37</v>
      </c>
      <c r="AG544" s="30" t="s">
        <v>37</v>
      </c>
      <c r="AH544" s="30">
        <v>1</v>
      </c>
      <c r="AI544" s="30">
        <v>2</v>
      </c>
      <c r="AJ544" s="30">
        <v>0</v>
      </c>
      <c r="AK544" s="32">
        <v>43623</v>
      </c>
      <c r="AL544" s="30">
        <v>4</v>
      </c>
    </row>
    <row r="545" spans="1:38" x14ac:dyDescent="0.25">
      <c r="A545" s="21" t="s">
        <v>26</v>
      </c>
      <c r="B545" s="22"/>
      <c r="C545" s="3">
        <v>2019</v>
      </c>
      <c r="D545" s="3" t="s">
        <v>37</v>
      </c>
      <c r="E545" s="3" t="s">
        <v>37</v>
      </c>
      <c r="F545" s="3" t="s">
        <v>37</v>
      </c>
      <c r="G545" s="30">
        <f t="shared" si="88"/>
        <v>16</v>
      </c>
      <c r="H545" s="27">
        <v>3</v>
      </c>
      <c r="I545" s="21">
        <v>13</v>
      </c>
      <c r="J545" s="24">
        <f t="shared" si="89"/>
        <v>0.1875</v>
      </c>
      <c r="K545" s="30">
        <v>0.25</v>
      </c>
      <c r="L545" s="27">
        <f t="shared" si="90"/>
        <v>16</v>
      </c>
      <c r="M545" s="27">
        <f>(9+15+23+9)/4</f>
        <v>14</v>
      </c>
      <c r="N545" s="27"/>
      <c r="O545" s="27">
        <v>85</v>
      </c>
      <c r="P545" s="27">
        <v>20</v>
      </c>
      <c r="Q545" s="27"/>
      <c r="R545" s="27"/>
      <c r="S545" s="27"/>
      <c r="T545" s="30"/>
      <c r="U545" s="30"/>
      <c r="V545" s="30"/>
      <c r="W545" s="30"/>
      <c r="X545" s="30"/>
      <c r="Y545" s="30"/>
      <c r="Z545" s="30"/>
      <c r="AA545" s="30"/>
      <c r="AB545" s="30"/>
      <c r="AC545" s="2" t="s">
        <v>178</v>
      </c>
      <c r="AD545" s="3" t="s">
        <v>177</v>
      </c>
      <c r="AE545" s="3">
        <v>1.875</v>
      </c>
      <c r="AF545" s="30" t="s">
        <v>37</v>
      </c>
      <c r="AG545" s="30" t="s">
        <v>37</v>
      </c>
      <c r="AH545" s="30">
        <v>1</v>
      </c>
      <c r="AI545" s="30">
        <v>2</v>
      </c>
      <c r="AJ545" s="30">
        <v>0</v>
      </c>
      <c r="AK545" s="32">
        <v>43623</v>
      </c>
      <c r="AL545" s="30">
        <v>8</v>
      </c>
    </row>
    <row r="546" spans="1:38" x14ac:dyDescent="0.25">
      <c r="A546" s="21" t="s">
        <v>26</v>
      </c>
      <c r="B546" s="22"/>
      <c r="C546" s="3">
        <v>2019</v>
      </c>
      <c r="D546" s="3" t="s">
        <v>37</v>
      </c>
      <c r="E546" s="3" t="s">
        <v>37</v>
      </c>
      <c r="F546" s="3" t="s">
        <v>37</v>
      </c>
      <c r="G546" s="30">
        <f t="shared" si="88"/>
        <v>6</v>
      </c>
      <c r="H546" s="27">
        <v>2</v>
      </c>
      <c r="I546" s="21">
        <v>4</v>
      </c>
      <c r="J546" s="24">
        <f t="shared" si="89"/>
        <v>0.33333333333333331</v>
      </c>
      <c r="K546" s="30">
        <v>0.25</v>
      </c>
      <c r="L546" s="27">
        <f t="shared" si="90"/>
        <v>6</v>
      </c>
      <c r="M546" s="27">
        <f>(12+7+6+8)/4</f>
        <v>8.25</v>
      </c>
      <c r="N546" s="27"/>
      <c r="O546" s="27">
        <v>65</v>
      </c>
      <c r="P546" s="27">
        <v>40</v>
      </c>
      <c r="Q546" s="27"/>
      <c r="R546" s="27"/>
      <c r="S546" s="27"/>
      <c r="T546" s="30"/>
      <c r="U546" s="30"/>
      <c r="V546" s="30"/>
      <c r="W546" s="30"/>
      <c r="X546" s="30"/>
      <c r="Y546" s="30"/>
      <c r="Z546" s="30"/>
      <c r="AA546" s="30"/>
      <c r="AB546" s="30"/>
      <c r="AC546" s="2" t="s">
        <v>178</v>
      </c>
      <c r="AD546" s="3" t="s">
        <v>179</v>
      </c>
      <c r="AE546" s="3">
        <v>0.83333333333333337</v>
      </c>
      <c r="AF546" s="30" t="s">
        <v>37</v>
      </c>
      <c r="AG546" s="30" t="s">
        <v>37</v>
      </c>
      <c r="AH546" s="30">
        <v>1</v>
      </c>
      <c r="AI546" s="30">
        <v>2</v>
      </c>
      <c r="AJ546" s="30">
        <v>0</v>
      </c>
      <c r="AK546" s="32">
        <v>43623</v>
      </c>
      <c r="AL546" s="30">
        <v>12</v>
      </c>
    </row>
    <row r="547" spans="1:38" x14ac:dyDescent="0.25">
      <c r="A547" s="21" t="s">
        <v>26</v>
      </c>
      <c r="B547" s="22"/>
      <c r="C547" s="3">
        <v>2019</v>
      </c>
      <c r="D547" s="3" t="s">
        <v>37</v>
      </c>
      <c r="E547" s="3" t="s">
        <v>37</v>
      </c>
      <c r="F547" s="3" t="s">
        <v>37</v>
      </c>
      <c r="G547" s="30" t="s">
        <v>37</v>
      </c>
      <c r="H547" s="27" t="s">
        <v>37</v>
      </c>
      <c r="I547" s="21" t="s">
        <v>37</v>
      </c>
      <c r="J547" s="24" t="s">
        <v>37</v>
      </c>
      <c r="K547" s="30" t="s">
        <v>37</v>
      </c>
      <c r="L547" s="24" t="s">
        <v>37</v>
      </c>
      <c r="M547" s="27"/>
      <c r="N547" s="27"/>
      <c r="O547" s="27"/>
      <c r="P547" s="27"/>
      <c r="Q547" s="27"/>
      <c r="R547" s="27"/>
      <c r="S547" s="27"/>
      <c r="T547" s="30"/>
      <c r="U547" s="30"/>
      <c r="V547" s="30"/>
      <c r="W547" s="30"/>
      <c r="X547" s="30"/>
      <c r="Y547" s="30"/>
      <c r="Z547" s="30"/>
      <c r="AA547" s="30"/>
      <c r="AB547" s="30"/>
      <c r="AC547" s="2" t="s">
        <v>178</v>
      </c>
      <c r="AD547" s="3" t="s">
        <v>235</v>
      </c>
      <c r="AE547" s="3" t="s">
        <v>37</v>
      </c>
      <c r="AF547" s="30"/>
      <c r="AG547" s="30"/>
      <c r="AH547" s="30">
        <v>1</v>
      </c>
      <c r="AI547" s="30">
        <v>2</v>
      </c>
      <c r="AJ547" s="30">
        <v>0</v>
      </c>
      <c r="AK547" s="30"/>
      <c r="AL547" s="30"/>
    </row>
    <row r="548" spans="1:38" x14ac:dyDescent="0.25">
      <c r="A548" s="21" t="s">
        <v>26</v>
      </c>
      <c r="B548" s="22"/>
      <c r="C548" s="3">
        <v>2019</v>
      </c>
      <c r="D548" s="3" t="s">
        <v>37</v>
      </c>
      <c r="E548" s="3" t="s">
        <v>37</v>
      </c>
      <c r="F548" s="3" t="s">
        <v>37</v>
      </c>
      <c r="G548" s="30" t="s">
        <v>37</v>
      </c>
      <c r="H548" s="27" t="s">
        <v>37</v>
      </c>
      <c r="I548" s="21" t="s">
        <v>37</v>
      </c>
      <c r="J548" s="24" t="s">
        <v>37</v>
      </c>
      <c r="K548" s="30" t="s">
        <v>37</v>
      </c>
      <c r="L548" s="24" t="s">
        <v>37</v>
      </c>
      <c r="M548" s="27"/>
      <c r="N548" s="27"/>
      <c r="O548" s="27"/>
      <c r="P548" s="27"/>
      <c r="Q548" s="27"/>
      <c r="R548" s="27"/>
      <c r="S548" s="27"/>
      <c r="T548" s="30"/>
      <c r="U548" s="30"/>
      <c r="V548" s="30"/>
      <c r="W548" s="30"/>
      <c r="X548" s="30"/>
      <c r="Y548" s="30"/>
      <c r="Z548" s="30"/>
      <c r="AA548" s="30"/>
      <c r="AB548" s="30"/>
      <c r="AD548" s="3" t="s">
        <v>236</v>
      </c>
      <c r="AE548" s="3" t="s">
        <v>37</v>
      </c>
      <c r="AF548" s="30"/>
      <c r="AG548" s="30"/>
      <c r="AH548" s="30">
        <v>1</v>
      </c>
      <c r="AI548" s="30">
        <v>2</v>
      </c>
      <c r="AJ548" s="30">
        <v>0</v>
      </c>
      <c r="AK548" s="30"/>
      <c r="AL548" s="30"/>
    </row>
    <row r="549" spans="1:38" x14ac:dyDescent="0.25">
      <c r="A549" s="21" t="s">
        <v>26</v>
      </c>
      <c r="B549" s="22"/>
      <c r="C549" s="3">
        <v>2019</v>
      </c>
      <c r="D549" s="3" t="s">
        <v>37</v>
      </c>
      <c r="E549" s="3" t="s">
        <v>37</v>
      </c>
      <c r="F549" s="3" t="s">
        <v>37</v>
      </c>
      <c r="G549" s="30" t="s">
        <v>37</v>
      </c>
      <c r="H549" s="27" t="s">
        <v>37</v>
      </c>
      <c r="I549" s="21" t="s">
        <v>37</v>
      </c>
      <c r="J549" s="24" t="s">
        <v>37</v>
      </c>
      <c r="K549" s="30" t="s">
        <v>37</v>
      </c>
      <c r="L549" s="24" t="s">
        <v>37</v>
      </c>
      <c r="M549" s="27"/>
      <c r="N549" s="27"/>
      <c r="O549" s="27"/>
      <c r="P549" s="27"/>
      <c r="Q549" s="27"/>
      <c r="R549" s="27"/>
      <c r="S549" s="27"/>
      <c r="T549" s="30"/>
      <c r="U549" s="30"/>
      <c r="V549" s="30"/>
      <c r="W549" s="30"/>
      <c r="X549" s="30"/>
      <c r="Y549" s="30"/>
      <c r="Z549" s="30"/>
      <c r="AA549" s="30"/>
      <c r="AB549" s="30"/>
      <c r="AD549" s="3" t="s">
        <v>273</v>
      </c>
      <c r="AE549" s="3" t="s">
        <v>37</v>
      </c>
      <c r="AF549" s="30"/>
      <c r="AG549" s="30"/>
      <c r="AH549" s="30">
        <v>1</v>
      </c>
      <c r="AI549" s="30">
        <v>2</v>
      </c>
      <c r="AJ549" s="30">
        <v>0</v>
      </c>
      <c r="AK549" s="30"/>
      <c r="AL549" s="30"/>
    </row>
    <row r="550" spans="1:38" x14ac:dyDescent="0.25">
      <c r="A550" s="21" t="s">
        <v>19</v>
      </c>
      <c r="B550" s="22"/>
      <c r="C550" s="3">
        <v>2020</v>
      </c>
      <c r="D550" s="3" t="s">
        <v>37</v>
      </c>
      <c r="E550" s="3" t="s">
        <v>37</v>
      </c>
      <c r="F550" s="3" t="s">
        <v>37</v>
      </c>
      <c r="G550" s="30">
        <f>SUM(H550:I550)</f>
        <v>61</v>
      </c>
      <c r="H550" s="27">
        <v>3</v>
      </c>
      <c r="I550" s="21">
        <v>58</v>
      </c>
      <c r="J550" s="24">
        <f>H550/G550</f>
        <v>4.9180327868852458E-2</v>
      </c>
      <c r="K550" s="30">
        <v>0.25</v>
      </c>
      <c r="L550" s="27">
        <f>G550/(K550/0.25)</f>
        <v>61</v>
      </c>
      <c r="M550" s="27">
        <v>17.75</v>
      </c>
      <c r="N550" s="27"/>
      <c r="O550" s="27">
        <v>90</v>
      </c>
      <c r="P550" s="27">
        <v>0</v>
      </c>
      <c r="Q550" s="27"/>
      <c r="R550" s="27"/>
      <c r="S550" s="27"/>
      <c r="T550" s="30"/>
      <c r="U550" s="30"/>
      <c r="V550" s="30"/>
      <c r="W550" s="30"/>
      <c r="X550" s="30"/>
      <c r="Y550" s="30"/>
      <c r="Z550" s="30"/>
      <c r="AA550" s="30"/>
      <c r="AB550" s="30"/>
      <c r="AC550" s="2"/>
      <c r="AD550" s="3" t="s">
        <v>125</v>
      </c>
      <c r="AE550" s="30" t="s">
        <v>37</v>
      </c>
      <c r="AF550" s="30" t="s">
        <v>37</v>
      </c>
      <c r="AG550" s="30"/>
      <c r="AH550" s="30">
        <v>1</v>
      </c>
      <c r="AI550" s="30">
        <v>2</v>
      </c>
      <c r="AJ550" s="30">
        <v>0</v>
      </c>
      <c r="AK550" s="32">
        <v>43991</v>
      </c>
      <c r="AL550" s="30"/>
    </row>
    <row r="551" spans="1:38" x14ac:dyDescent="0.25">
      <c r="A551" s="21" t="s">
        <v>19</v>
      </c>
      <c r="B551" s="22"/>
      <c r="C551" s="3">
        <v>2020</v>
      </c>
      <c r="D551" s="3" t="s">
        <v>37</v>
      </c>
      <c r="E551" s="3" t="s">
        <v>37</v>
      </c>
      <c r="F551" s="3" t="s">
        <v>37</v>
      </c>
      <c r="G551" s="30">
        <f>SUM(H551:I551)</f>
        <v>69</v>
      </c>
      <c r="H551" s="27">
        <v>13</v>
      </c>
      <c r="I551" s="21">
        <v>56</v>
      </c>
      <c r="J551" s="24">
        <f>H551/G551</f>
        <v>0.18840579710144928</v>
      </c>
      <c r="K551" s="30">
        <v>0.25</v>
      </c>
      <c r="L551" s="27">
        <f>G551/(K551/0.25)</f>
        <v>69</v>
      </c>
      <c r="M551" s="27">
        <v>8.75</v>
      </c>
      <c r="N551" s="27"/>
      <c r="O551" s="27">
        <v>90</v>
      </c>
      <c r="P551" s="27">
        <v>0</v>
      </c>
      <c r="Q551" s="27"/>
      <c r="R551" s="27"/>
      <c r="S551" s="27"/>
      <c r="T551" s="30"/>
      <c r="U551" s="30"/>
      <c r="V551" s="30"/>
      <c r="W551" s="30"/>
      <c r="X551" s="30"/>
      <c r="Y551" s="30"/>
      <c r="Z551" s="30"/>
      <c r="AA551" s="30"/>
      <c r="AB551" s="30"/>
      <c r="AC551" s="2"/>
      <c r="AD551" s="3" t="s">
        <v>150</v>
      </c>
      <c r="AE551" s="3" t="s">
        <v>37</v>
      </c>
      <c r="AF551" s="30" t="s">
        <v>37</v>
      </c>
      <c r="AG551" s="30"/>
      <c r="AH551" s="30">
        <v>1</v>
      </c>
      <c r="AI551" s="30">
        <v>2</v>
      </c>
      <c r="AJ551" s="30">
        <v>0</v>
      </c>
      <c r="AK551" s="32">
        <v>43991</v>
      </c>
      <c r="AL551" s="30"/>
    </row>
    <row r="552" spans="1:38" x14ac:dyDescent="0.25">
      <c r="A552" s="21" t="s">
        <v>26</v>
      </c>
      <c r="B552" s="22"/>
      <c r="C552" s="3">
        <v>2020</v>
      </c>
      <c r="D552" s="3" t="s">
        <v>37</v>
      </c>
      <c r="E552" s="3" t="s">
        <v>37</v>
      </c>
      <c r="F552" s="3" t="s">
        <v>37</v>
      </c>
      <c r="G552" s="30" t="s">
        <v>37</v>
      </c>
      <c r="H552" s="27" t="s">
        <v>37</v>
      </c>
      <c r="I552" s="27" t="s">
        <v>37</v>
      </c>
      <c r="J552" s="27" t="s">
        <v>37</v>
      </c>
      <c r="K552" s="30">
        <v>0.25</v>
      </c>
      <c r="L552" s="27" t="s">
        <v>37</v>
      </c>
      <c r="M552" s="27" t="s">
        <v>37</v>
      </c>
      <c r="N552" s="27"/>
      <c r="O552" s="27" t="s">
        <v>37</v>
      </c>
      <c r="P552" s="27" t="s">
        <v>37</v>
      </c>
      <c r="Q552" s="27"/>
      <c r="R552" s="27"/>
      <c r="S552" s="27"/>
      <c r="T552" s="30"/>
      <c r="U552" s="30"/>
      <c r="V552" s="30"/>
      <c r="W552" s="30"/>
      <c r="X552" s="30"/>
      <c r="Y552" s="30"/>
      <c r="Z552" s="30"/>
      <c r="AA552" s="30"/>
      <c r="AB552" s="30"/>
      <c r="AC552" s="2" t="s">
        <v>160</v>
      </c>
      <c r="AD552" s="3" t="s">
        <v>166</v>
      </c>
      <c r="AE552" s="3" t="s">
        <v>37</v>
      </c>
      <c r="AF552" s="30" t="s">
        <v>37</v>
      </c>
      <c r="AG552" s="30"/>
      <c r="AH552" s="30">
        <v>1</v>
      </c>
      <c r="AI552" s="30">
        <v>2</v>
      </c>
      <c r="AJ552" s="30">
        <v>0</v>
      </c>
      <c r="AK552" s="32" t="s">
        <v>163</v>
      </c>
      <c r="AL552" s="30"/>
    </row>
    <row r="553" spans="1:38" x14ac:dyDescent="0.25">
      <c r="A553" s="21" t="s">
        <v>26</v>
      </c>
      <c r="B553" s="22"/>
      <c r="C553" s="3">
        <v>2020</v>
      </c>
      <c r="D553" s="3" t="s">
        <v>37</v>
      </c>
      <c r="E553" s="3" t="s">
        <v>37</v>
      </c>
      <c r="F553" s="3" t="s">
        <v>37</v>
      </c>
      <c r="G553" s="30">
        <f>SUM(H553:I553)</f>
        <v>45</v>
      </c>
      <c r="H553" s="27">
        <v>17</v>
      </c>
      <c r="I553" s="21">
        <v>28</v>
      </c>
      <c r="J553" s="24">
        <f>H553/G553</f>
        <v>0.37777777777777777</v>
      </c>
      <c r="K553" s="30">
        <v>0.25</v>
      </c>
      <c r="L553" s="27">
        <f>G553/(K553/0.25)</f>
        <v>45</v>
      </c>
      <c r="M553" s="27">
        <v>9.5</v>
      </c>
      <c r="N553" s="27"/>
      <c r="O553" s="27">
        <v>90</v>
      </c>
      <c r="P553" s="27">
        <v>20</v>
      </c>
      <c r="Q553" s="27"/>
      <c r="R553" s="27"/>
      <c r="S553" s="27"/>
      <c r="AC553" s="2" t="s">
        <v>160</v>
      </c>
      <c r="AD553" s="3" t="s">
        <v>169</v>
      </c>
      <c r="AE553" s="3" t="s">
        <v>37</v>
      </c>
      <c r="AF553" s="30" t="s">
        <v>37</v>
      </c>
      <c r="AG553" s="30"/>
      <c r="AH553" s="30">
        <v>1</v>
      </c>
      <c r="AI553" s="30">
        <v>2</v>
      </c>
      <c r="AJ553" s="30">
        <v>0</v>
      </c>
      <c r="AK553" s="32" t="s">
        <v>163</v>
      </c>
      <c r="AL553" s="30"/>
    </row>
    <row r="554" spans="1:38" x14ac:dyDescent="0.25">
      <c r="A554" s="21" t="s">
        <v>26</v>
      </c>
      <c r="B554" s="22"/>
      <c r="C554" s="3">
        <v>2020</v>
      </c>
      <c r="D554" s="3" t="s">
        <v>37</v>
      </c>
      <c r="E554" s="3" t="s">
        <v>37</v>
      </c>
      <c r="F554" s="3" t="s">
        <v>37</v>
      </c>
      <c r="G554" s="30">
        <f>SUM(H554:I554)</f>
        <v>13</v>
      </c>
      <c r="H554" s="27">
        <v>3</v>
      </c>
      <c r="I554" s="21">
        <v>10</v>
      </c>
      <c r="J554" s="24">
        <f>H554/G554</f>
        <v>0.23076923076923078</v>
      </c>
      <c r="K554" s="30">
        <v>0.25</v>
      </c>
      <c r="L554" s="27">
        <f>G554/(K554/0.25)</f>
        <v>13</v>
      </c>
      <c r="M554" s="27">
        <v>20.5</v>
      </c>
      <c r="N554" s="27"/>
      <c r="O554" s="27">
        <v>90</v>
      </c>
      <c r="P554" s="27">
        <v>20</v>
      </c>
      <c r="Q554" s="27"/>
      <c r="R554" s="27"/>
      <c r="S554" s="27"/>
      <c r="AC554" s="2" t="s">
        <v>160</v>
      </c>
      <c r="AD554" s="3" t="s">
        <v>170</v>
      </c>
      <c r="AE554" s="3" t="s">
        <v>37</v>
      </c>
      <c r="AF554" s="30" t="s">
        <v>37</v>
      </c>
      <c r="AG554" s="30"/>
      <c r="AH554" s="30">
        <v>1</v>
      </c>
      <c r="AI554" s="30">
        <v>2</v>
      </c>
      <c r="AJ554" s="30">
        <v>0</v>
      </c>
      <c r="AK554" s="32" t="s">
        <v>163</v>
      </c>
      <c r="AL554" s="30"/>
    </row>
    <row r="555" spans="1:38" x14ac:dyDescent="0.25">
      <c r="A555" s="21" t="s">
        <v>26</v>
      </c>
      <c r="B555" s="22"/>
      <c r="C555" s="3">
        <v>2020</v>
      </c>
      <c r="D555" s="3" t="s">
        <v>37</v>
      </c>
      <c r="E555" s="3" t="s">
        <v>37</v>
      </c>
      <c r="F555" s="3" t="s">
        <v>37</v>
      </c>
      <c r="G555" s="30">
        <f>SUM(H555:I555)</f>
        <v>30</v>
      </c>
      <c r="H555" s="27">
        <v>4</v>
      </c>
      <c r="I555" s="21">
        <v>26</v>
      </c>
      <c r="J555" s="24">
        <f>H555/G555</f>
        <v>0.13333333333333333</v>
      </c>
      <c r="K555" s="30">
        <v>0.25</v>
      </c>
      <c r="L555" s="27">
        <f>G555/(K555/0.25)</f>
        <v>30</v>
      </c>
      <c r="M555" s="27">
        <v>25</v>
      </c>
      <c r="N555" s="27"/>
      <c r="O555" s="27">
        <v>95</v>
      </c>
      <c r="P555" s="27">
        <v>0</v>
      </c>
      <c r="Q555" s="27"/>
      <c r="R555" s="27"/>
      <c r="S555" s="27"/>
      <c r="T555" s="30"/>
      <c r="U555" s="30"/>
      <c r="V555" s="30"/>
      <c r="W555" s="30"/>
      <c r="X555" s="30"/>
      <c r="Y555" s="30"/>
      <c r="Z555" s="30"/>
      <c r="AA555" s="30"/>
      <c r="AB555" s="30"/>
      <c r="AC555" s="2" t="s">
        <v>178</v>
      </c>
      <c r="AD555" s="3" t="s">
        <v>177</v>
      </c>
      <c r="AE555" s="3" t="s">
        <v>37</v>
      </c>
      <c r="AF555" s="30" t="s">
        <v>37</v>
      </c>
      <c r="AG555" s="30"/>
      <c r="AH555" s="30">
        <v>1</v>
      </c>
      <c r="AI555" s="30">
        <v>2</v>
      </c>
      <c r="AJ555" s="30">
        <v>0</v>
      </c>
      <c r="AK555" s="32" t="s">
        <v>163</v>
      </c>
      <c r="AL555" s="30"/>
    </row>
    <row r="556" spans="1:38" x14ac:dyDescent="0.25">
      <c r="A556" s="21" t="s">
        <v>26</v>
      </c>
      <c r="B556" s="22"/>
      <c r="C556" s="3">
        <v>2020</v>
      </c>
      <c r="D556" s="3" t="s">
        <v>37</v>
      </c>
      <c r="E556" s="3" t="s">
        <v>37</v>
      </c>
      <c r="F556" s="3" t="s">
        <v>37</v>
      </c>
      <c r="G556" s="30">
        <f>SUM(H556:I556)</f>
        <v>5</v>
      </c>
      <c r="H556" s="27">
        <v>0</v>
      </c>
      <c r="I556" s="21">
        <v>5</v>
      </c>
      <c r="J556" s="24">
        <f>H556/G556</f>
        <v>0</v>
      </c>
      <c r="K556" s="30">
        <v>0.25</v>
      </c>
      <c r="L556" s="27">
        <f>G556/(K556/0.25)</f>
        <v>5</v>
      </c>
      <c r="M556" s="27">
        <v>12.25</v>
      </c>
      <c r="N556" s="27"/>
      <c r="O556" s="27">
        <v>90</v>
      </c>
      <c r="P556" s="27">
        <v>20</v>
      </c>
      <c r="Q556" s="27"/>
      <c r="R556" s="27">
        <v>1</v>
      </c>
      <c r="S556" s="27" t="s">
        <v>180</v>
      </c>
      <c r="T556" s="30"/>
      <c r="U556" s="30"/>
      <c r="V556" s="30"/>
      <c r="W556" s="30"/>
      <c r="X556" s="30"/>
      <c r="Y556" s="30"/>
      <c r="Z556" s="30"/>
      <c r="AA556" s="30"/>
      <c r="AB556" s="30"/>
      <c r="AC556" s="2" t="s">
        <v>178</v>
      </c>
      <c r="AD556" s="3" t="s">
        <v>179</v>
      </c>
      <c r="AE556" s="3" t="s">
        <v>37</v>
      </c>
      <c r="AF556" s="30" t="s">
        <v>37</v>
      </c>
      <c r="AG556" s="30"/>
      <c r="AH556" s="30">
        <v>1</v>
      </c>
      <c r="AI556" s="30">
        <v>2</v>
      </c>
      <c r="AJ556" s="30">
        <v>0</v>
      </c>
      <c r="AK556" s="32" t="s">
        <v>163</v>
      </c>
      <c r="AL556" s="30"/>
    </row>
    <row r="557" spans="1:38" x14ac:dyDescent="0.25">
      <c r="A557" s="21" t="s">
        <v>26</v>
      </c>
      <c r="B557" s="22"/>
      <c r="C557" s="3">
        <v>2020</v>
      </c>
      <c r="D557" s="3" t="s">
        <v>37</v>
      </c>
      <c r="E557" s="3" t="s">
        <v>37</v>
      </c>
      <c r="F557" s="3" t="s">
        <v>37</v>
      </c>
      <c r="G557" s="30" t="s">
        <v>37</v>
      </c>
      <c r="H557" s="27" t="s">
        <v>37</v>
      </c>
      <c r="I557" s="27" t="s">
        <v>37</v>
      </c>
      <c r="J557" s="27" t="s">
        <v>37</v>
      </c>
      <c r="K557" s="30">
        <v>0.25</v>
      </c>
      <c r="L557" s="27" t="s">
        <v>37</v>
      </c>
      <c r="M557" s="27" t="s">
        <v>37</v>
      </c>
      <c r="N557" s="27"/>
      <c r="O557" s="27" t="s">
        <v>37</v>
      </c>
      <c r="P557" s="27" t="s">
        <v>37</v>
      </c>
      <c r="Q557" s="27"/>
      <c r="R557" s="27"/>
      <c r="S557" s="27"/>
      <c r="T557" s="30"/>
      <c r="U557" s="30"/>
      <c r="V557" s="30"/>
      <c r="W557" s="30"/>
      <c r="X557" s="30"/>
      <c r="Y557" s="30"/>
      <c r="Z557" s="30"/>
      <c r="AA557" s="30"/>
      <c r="AB557" s="30"/>
      <c r="AC557" s="2" t="s">
        <v>178</v>
      </c>
      <c r="AD557" s="3" t="s">
        <v>235</v>
      </c>
      <c r="AE557" s="3" t="s">
        <v>37</v>
      </c>
      <c r="AF557" s="30" t="s">
        <v>37</v>
      </c>
      <c r="AG557" s="30"/>
      <c r="AH557" s="30">
        <v>1</v>
      </c>
      <c r="AI557" s="30">
        <v>2</v>
      </c>
      <c r="AJ557" s="30">
        <v>0</v>
      </c>
      <c r="AK557" s="32" t="s">
        <v>163</v>
      </c>
      <c r="AL557" s="30"/>
    </row>
    <row r="558" spans="1:38" x14ac:dyDescent="0.25">
      <c r="A558" s="21" t="s">
        <v>26</v>
      </c>
      <c r="B558" s="22"/>
      <c r="C558" s="3">
        <v>2020</v>
      </c>
      <c r="D558" s="3" t="s">
        <v>37</v>
      </c>
      <c r="E558" s="3" t="s">
        <v>37</v>
      </c>
      <c r="F558" s="3" t="s">
        <v>37</v>
      </c>
      <c r="G558" s="30" t="s">
        <v>37</v>
      </c>
      <c r="H558" s="27" t="s">
        <v>37</v>
      </c>
      <c r="I558" s="27" t="s">
        <v>37</v>
      </c>
      <c r="J558" s="27" t="s">
        <v>37</v>
      </c>
      <c r="K558" s="30">
        <v>0.25</v>
      </c>
      <c r="L558" s="27" t="s">
        <v>37</v>
      </c>
      <c r="M558" s="27" t="s">
        <v>37</v>
      </c>
      <c r="N558" s="27"/>
      <c r="O558" s="27" t="s">
        <v>37</v>
      </c>
      <c r="P558" s="27" t="s">
        <v>37</v>
      </c>
      <c r="Q558" s="27"/>
      <c r="R558" s="27"/>
      <c r="S558" s="27"/>
      <c r="T558" s="30"/>
      <c r="U558" s="30"/>
      <c r="V558" s="30"/>
      <c r="W558" s="30"/>
      <c r="X558" s="30"/>
      <c r="Y558" s="30"/>
      <c r="Z558" s="30"/>
      <c r="AA558" s="30"/>
      <c r="AB558" s="30"/>
      <c r="AD558" s="3" t="s">
        <v>236</v>
      </c>
      <c r="AE558" s="3" t="s">
        <v>37</v>
      </c>
      <c r="AF558" s="30" t="s">
        <v>37</v>
      </c>
      <c r="AG558" s="30"/>
      <c r="AH558" s="30">
        <v>1</v>
      </c>
      <c r="AI558" s="30">
        <v>2</v>
      </c>
      <c r="AJ558" s="30">
        <v>0</v>
      </c>
      <c r="AK558" s="32" t="s">
        <v>163</v>
      </c>
      <c r="AL558" s="30"/>
    </row>
    <row r="559" spans="1:38" x14ac:dyDescent="0.25">
      <c r="A559" s="21" t="s">
        <v>26</v>
      </c>
      <c r="B559" s="22"/>
      <c r="C559" s="3">
        <v>2020</v>
      </c>
      <c r="D559" s="3" t="s">
        <v>37</v>
      </c>
      <c r="E559" s="3" t="s">
        <v>37</v>
      </c>
      <c r="F559" s="3" t="s">
        <v>37</v>
      </c>
      <c r="G559" s="30" t="s">
        <v>37</v>
      </c>
      <c r="H559" s="27" t="s">
        <v>37</v>
      </c>
      <c r="I559" s="27" t="s">
        <v>37</v>
      </c>
      <c r="J559" s="27" t="s">
        <v>37</v>
      </c>
      <c r="K559" s="30">
        <v>0.25</v>
      </c>
      <c r="L559" s="27" t="s">
        <v>37</v>
      </c>
      <c r="M559" s="27" t="s">
        <v>37</v>
      </c>
      <c r="N559" s="27"/>
      <c r="O559" s="27" t="s">
        <v>37</v>
      </c>
      <c r="P559" s="27" t="s">
        <v>37</v>
      </c>
      <c r="Q559" s="27"/>
      <c r="R559" s="27"/>
      <c r="S559" s="27"/>
      <c r="T559" s="30"/>
      <c r="U559" s="30"/>
      <c r="V559" s="30"/>
      <c r="W559" s="30"/>
      <c r="X559" s="30"/>
      <c r="Y559" s="30"/>
      <c r="Z559" s="30"/>
      <c r="AA559" s="30"/>
      <c r="AB559" s="30"/>
      <c r="AD559" s="3" t="s">
        <v>273</v>
      </c>
      <c r="AE559" s="3" t="s">
        <v>37</v>
      </c>
      <c r="AF559" s="30" t="s">
        <v>37</v>
      </c>
      <c r="AG559" s="30"/>
      <c r="AH559" s="30">
        <v>1</v>
      </c>
      <c r="AI559" s="30">
        <v>2</v>
      </c>
      <c r="AJ559" s="30">
        <v>0</v>
      </c>
      <c r="AK559" s="32" t="s">
        <v>163</v>
      </c>
      <c r="AL559" s="30"/>
    </row>
  </sheetData>
  <autoFilter ref="A1:AL559" xr:uid="{B8C6EA0B-E2AA-4CF8-BE04-97E7015BBB9C}">
    <filterColumn colId="3">
      <filters>
        <filter val="0"/>
        <filter val="NA"/>
      </filters>
    </filterColumn>
    <sortState xmlns:xlrd2="http://schemas.microsoft.com/office/spreadsheetml/2017/richdata2" ref="A2:AL559">
      <sortCondition ref="B1:B477"/>
    </sortState>
  </autoFilter>
  <sortState xmlns:xlrd2="http://schemas.microsoft.com/office/spreadsheetml/2017/richdata2" ref="A2:AC395">
    <sortCondition ref="A2:A395"/>
    <sortCondition ref="C2:C3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5B87-06E0-430C-91A3-2B72B6AF4989}">
  <dimension ref="A3:K16"/>
  <sheetViews>
    <sheetView workbookViewId="0">
      <selection activeCell="F19" sqref="F19"/>
    </sheetView>
  </sheetViews>
  <sheetFormatPr defaultRowHeight="15.75" x14ac:dyDescent="0.25"/>
  <cols>
    <col min="1" max="1" width="12.375" bestFit="1" customWidth="1"/>
    <col min="2" max="2" width="18.875" bestFit="1" customWidth="1"/>
    <col min="3" max="3" width="20" bestFit="1" customWidth="1"/>
    <col min="4" max="4" width="18.875" bestFit="1" customWidth="1"/>
    <col min="5" max="5" width="20" bestFit="1" customWidth="1"/>
    <col min="6" max="6" width="18.875" bestFit="1" customWidth="1"/>
    <col min="7" max="7" width="20" bestFit="1" customWidth="1"/>
    <col min="8" max="8" width="18.875" bestFit="1" customWidth="1"/>
    <col min="9" max="9" width="20" bestFit="1" customWidth="1"/>
    <col min="10" max="10" width="23.875" bestFit="1" customWidth="1"/>
    <col min="11" max="11" width="25" bestFit="1" customWidth="1"/>
  </cols>
  <sheetData>
    <row r="3" spans="1:11" x14ac:dyDescent="0.25">
      <c r="B3" s="60" t="s">
        <v>658</v>
      </c>
    </row>
    <row r="4" spans="1:11" x14ac:dyDescent="0.25">
      <c r="B4" t="s">
        <v>10</v>
      </c>
      <c r="D4" t="s">
        <v>19</v>
      </c>
      <c r="F4" t="s">
        <v>26</v>
      </c>
      <c r="H4" t="s">
        <v>558</v>
      </c>
      <c r="J4" t="s">
        <v>662</v>
      </c>
      <c r="K4" t="s">
        <v>663</v>
      </c>
    </row>
    <row r="5" spans="1:11" x14ac:dyDescent="0.25">
      <c r="A5" s="60" t="s">
        <v>660</v>
      </c>
      <c r="B5" t="s">
        <v>661</v>
      </c>
      <c r="C5" t="s">
        <v>664</v>
      </c>
      <c r="D5" t="s">
        <v>661</v>
      </c>
      <c r="E5" t="s">
        <v>664</v>
      </c>
      <c r="F5" t="s">
        <v>661</v>
      </c>
      <c r="G5" t="s">
        <v>664</v>
      </c>
      <c r="H5" t="s">
        <v>661</v>
      </c>
      <c r="I5" t="s">
        <v>664</v>
      </c>
    </row>
    <row r="6" spans="1:11" x14ac:dyDescent="0.25">
      <c r="A6" s="61">
        <v>2014</v>
      </c>
      <c r="D6">
        <v>260</v>
      </c>
      <c r="E6">
        <v>0.27873586802698785</v>
      </c>
      <c r="F6">
        <v>232</v>
      </c>
      <c r="G6">
        <v>0.37413350538350543</v>
      </c>
      <c r="H6">
        <v>250</v>
      </c>
      <c r="I6">
        <v>6.3988095238095233E-2</v>
      </c>
      <c r="J6">
        <v>742</v>
      </c>
      <c r="K6">
        <v>0.27274774350802344</v>
      </c>
    </row>
    <row r="7" spans="1:11" x14ac:dyDescent="0.25">
      <c r="A7" s="61">
        <v>2015</v>
      </c>
      <c r="D7">
        <v>424</v>
      </c>
      <c r="E7">
        <v>0.26446079669001477</v>
      </c>
      <c r="F7">
        <v>259</v>
      </c>
      <c r="G7">
        <v>0.22095687276219506</v>
      </c>
      <c r="H7">
        <v>192</v>
      </c>
      <c r="I7">
        <v>5.0505050505050509E-3</v>
      </c>
      <c r="J7">
        <v>875</v>
      </c>
      <c r="K7">
        <v>0.17786778504428039</v>
      </c>
    </row>
    <row r="8" spans="1:11" x14ac:dyDescent="0.25">
      <c r="A8" s="61">
        <v>2016</v>
      </c>
      <c r="D8">
        <v>356</v>
      </c>
      <c r="E8">
        <v>0.25098354825407754</v>
      </c>
      <c r="F8">
        <v>306</v>
      </c>
      <c r="G8">
        <v>0.29432293271608084</v>
      </c>
      <c r="H8">
        <v>149</v>
      </c>
      <c r="I8">
        <v>8.9962121212121202E-2</v>
      </c>
      <c r="J8">
        <v>811</v>
      </c>
      <c r="K8">
        <v>0.23842346415792653</v>
      </c>
    </row>
    <row r="9" spans="1:11" x14ac:dyDescent="0.25">
      <c r="A9" s="61">
        <v>2017</v>
      </c>
      <c r="D9">
        <v>436</v>
      </c>
      <c r="E9">
        <v>0.10677593242073687</v>
      </c>
      <c r="F9">
        <v>440</v>
      </c>
      <c r="G9">
        <v>0.25378842034860261</v>
      </c>
      <c r="H9">
        <v>130</v>
      </c>
      <c r="I9">
        <v>5.2403846153846155E-2</v>
      </c>
      <c r="J9">
        <v>1006</v>
      </c>
      <c r="K9">
        <v>0.17051270486652934</v>
      </c>
    </row>
    <row r="10" spans="1:11" x14ac:dyDescent="0.25">
      <c r="A10" s="61">
        <v>2018</v>
      </c>
      <c r="D10">
        <v>0</v>
      </c>
      <c r="E10" t="e">
        <v>#DIV/0!</v>
      </c>
      <c r="F10">
        <v>0</v>
      </c>
      <c r="G10" t="e">
        <v>#DIV/0!</v>
      </c>
      <c r="H10">
        <v>0</v>
      </c>
      <c r="I10" t="e">
        <v>#DIV/0!</v>
      </c>
      <c r="J10">
        <v>0</v>
      </c>
      <c r="K10" t="e">
        <v>#DIV/0!</v>
      </c>
    </row>
    <row r="11" spans="1:11" x14ac:dyDescent="0.25">
      <c r="A11" s="61">
        <v>2019</v>
      </c>
      <c r="D11">
        <v>288</v>
      </c>
      <c r="E11">
        <v>0.26197710622710624</v>
      </c>
      <c r="F11">
        <v>218</v>
      </c>
      <c r="G11">
        <v>0.27525260828969272</v>
      </c>
      <c r="H11">
        <v>98</v>
      </c>
      <c r="I11">
        <v>0.05</v>
      </c>
      <c r="J11">
        <v>604</v>
      </c>
      <c r="K11">
        <v>0.23590829384986994</v>
      </c>
    </row>
    <row r="12" spans="1:11" x14ac:dyDescent="0.25">
      <c r="A12" s="61">
        <v>2020</v>
      </c>
      <c r="B12">
        <v>47</v>
      </c>
      <c r="C12">
        <v>0.29174093879976232</v>
      </c>
      <c r="D12">
        <v>359</v>
      </c>
      <c r="E12">
        <v>0.19420352775126745</v>
      </c>
      <c r="F12">
        <v>254</v>
      </c>
      <c r="G12">
        <v>0.20676605948099158</v>
      </c>
      <c r="H12">
        <v>53</v>
      </c>
      <c r="I12">
        <v>3.0612244897959183E-2</v>
      </c>
      <c r="J12">
        <v>713</v>
      </c>
      <c r="K12">
        <v>0.20779561849548575</v>
      </c>
    </row>
    <row r="13" spans="1:11" x14ac:dyDescent="0.25">
      <c r="A13" s="61">
        <v>2021</v>
      </c>
      <c r="B13">
        <v>50</v>
      </c>
      <c r="C13">
        <v>6.1624649859943981E-2</v>
      </c>
      <c r="D13">
        <v>215</v>
      </c>
      <c r="E13">
        <v>0.24560449116020225</v>
      </c>
      <c r="F13">
        <v>176</v>
      </c>
      <c r="G13">
        <v>0.3279914869620752</v>
      </c>
      <c r="H13">
        <v>98</v>
      </c>
      <c r="I13">
        <v>0.2156609195402299</v>
      </c>
      <c r="J13">
        <v>539</v>
      </c>
      <c r="K13">
        <v>0.24202653352798778</v>
      </c>
    </row>
    <row r="14" spans="1:11" x14ac:dyDescent="0.25">
      <c r="A14" s="61">
        <v>2022</v>
      </c>
      <c r="B14">
        <v>52</v>
      </c>
      <c r="C14">
        <v>0.10727272727272727</v>
      </c>
      <c r="D14">
        <v>270</v>
      </c>
      <c r="E14">
        <v>0.26787134810064378</v>
      </c>
      <c r="F14">
        <v>239</v>
      </c>
      <c r="G14">
        <v>0.22172919672919675</v>
      </c>
      <c r="H14">
        <v>87</v>
      </c>
      <c r="I14">
        <v>5.2000000000000005E-2</v>
      </c>
      <c r="J14">
        <v>648</v>
      </c>
      <c r="K14">
        <v>0.18666949273063821</v>
      </c>
    </row>
    <row r="15" spans="1:11" x14ac:dyDescent="0.25">
      <c r="A15" s="61">
        <v>2023</v>
      </c>
      <c r="B15">
        <v>56</v>
      </c>
      <c r="C15">
        <v>0.12397674788979136</v>
      </c>
      <c r="D15">
        <v>201</v>
      </c>
      <c r="E15">
        <v>0.21731351981351982</v>
      </c>
      <c r="F15">
        <v>448</v>
      </c>
      <c r="G15">
        <v>0.23908744072692489</v>
      </c>
      <c r="H15">
        <v>60</v>
      </c>
      <c r="I15">
        <v>9.464285714285714E-2</v>
      </c>
      <c r="J15">
        <v>765</v>
      </c>
      <c r="K15">
        <v>0.1933107798362636</v>
      </c>
    </row>
    <row r="16" spans="1:11" x14ac:dyDescent="0.25">
      <c r="A16" s="61" t="s">
        <v>659</v>
      </c>
      <c r="B16">
        <v>205</v>
      </c>
      <c r="C16">
        <v>0.153086488471947</v>
      </c>
      <c r="D16">
        <v>2809</v>
      </c>
      <c r="E16">
        <v>0.23116288888448608</v>
      </c>
      <c r="F16">
        <v>2572</v>
      </c>
      <c r="G16">
        <v>0.27332175990921603</v>
      </c>
      <c r="H16">
        <v>1117</v>
      </c>
      <c r="I16">
        <v>7.1368853901262505E-2</v>
      </c>
      <c r="J16">
        <v>6703</v>
      </c>
      <c r="K16">
        <v>0.21511778140354279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F475-5538-4A77-8369-49B535C5C009}">
  <dimension ref="A1:H213"/>
  <sheetViews>
    <sheetView topLeftCell="A88" workbookViewId="0">
      <selection activeCell="D138" sqref="D138"/>
    </sheetView>
  </sheetViews>
  <sheetFormatPr defaultRowHeight="15.75" x14ac:dyDescent="0.25"/>
  <cols>
    <col min="1" max="1" width="12.75" customWidth="1"/>
    <col min="4" max="4" width="11.875" bestFit="1" customWidth="1"/>
    <col min="5" max="5" width="10.875" bestFit="1" customWidth="1"/>
  </cols>
  <sheetData>
    <row r="1" spans="1:6" x14ac:dyDescent="0.25">
      <c r="A1" s="30" t="s">
        <v>0</v>
      </c>
      <c r="B1" s="30" t="s">
        <v>277</v>
      </c>
      <c r="C1" s="30" t="s">
        <v>278</v>
      </c>
      <c r="D1" s="30" t="s">
        <v>279</v>
      </c>
      <c r="E1" s="30" t="s">
        <v>280</v>
      </c>
      <c r="F1" s="30"/>
    </row>
    <row r="2" spans="1:6" x14ac:dyDescent="0.25">
      <c r="A2" s="30" t="s">
        <v>19</v>
      </c>
      <c r="B2" s="36" t="s">
        <v>123</v>
      </c>
      <c r="C2" s="30" t="s">
        <v>281</v>
      </c>
      <c r="D2" s="30">
        <v>6548579.642</v>
      </c>
      <c r="E2" s="30">
        <v>612241.97499999998</v>
      </c>
      <c r="F2" s="30"/>
    </row>
    <row r="3" spans="1:6" x14ac:dyDescent="0.25">
      <c r="A3" s="30" t="s">
        <v>19</v>
      </c>
      <c r="B3" s="36" t="s">
        <v>123</v>
      </c>
      <c r="C3" s="30" t="s">
        <v>282</v>
      </c>
      <c r="D3" s="30">
        <v>6548579.6500000004</v>
      </c>
      <c r="E3" s="30">
        <v>612242.26100000006</v>
      </c>
      <c r="F3" s="30"/>
    </row>
    <row r="4" spans="1:6" x14ac:dyDescent="0.25">
      <c r="A4" s="30" t="s">
        <v>19</v>
      </c>
      <c r="B4" s="36" t="s">
        <v>123</v>
      </c>
      <c r="C4" s="30" t="s">
        <v>283</v>
      </c>
      <c r="D4" s="30">
        <v>6548579.0920000002</v>
      </c>
      <c r="E4" s="30">
        <v>612242.22</v>
      </c>
      <c r="F4" s="30"/>
    </row>
    <row r="5" spans="1:6" x14ac:dyDescent="0.25">
      <c r="A5" s="30" t="s">
        <v>19</v>
      </c>
      <c r="B5" s="36" t="s">
        <v>123</v>
      </c>
      <c r="C5" s="30" t="s">
        <v>284</v>
      </c>
      <c r="D5" s="30">
        <v>6548579.1880000001</v>
      </c>
      <c r="E5" s="30">
        <v>612241.701</v>
      </c>
      <c r="F5" s="30"/>
    </row>
    <row r="6" spans="1:6" x14ac:dyDescent="0.25">
      <c r="A6" s="30" t="s">
        <v>19</v>
      </c>
      <c r="B6" s="36" t="s">
        <v>144</v>
      </c>
      <c r="C6" s="30" t="s">
        <v>285</v>
      </c>
      <c r="D6" s="30">
        <v>6548601.8130000001</v>
      </c>
      <c r="E6" s="30">
        <v>612257.16200000001</v>
      </c>
      <c r="F6" s="30"/>
    </row>
    <row r="7" spans="1:6" x14ac:dyDescent="0.25">
      <c r="A7" s="30" t="s">
        <v>19</v>
      </c>
      <c r="B7" s="36" t="s">
        <v>144</v>
      </c>
      <c r="C7" s="30" t="s">
        <v>286</v>
      </c>
      <c r="D7" s="30">
        <v>6548601.6059999997</v>
      </c>
      <c r="E7" s="30">
        <v>612257.68500000006</v>
      </c>
      <c r="F7" s="30"/>
    </row>
    <row r="8" spans="1:6" x14ac:dyDescent="0.25">
      <c r="A8" s="30" t="s">
        <v>19</v>
      </c>
      <c r="B8" s="36" t="s">
        <v>144</v>
      </c>
      <c r="C8" s="30" t="s">
        <v>287</v>
      </c>
      <c r="D8" s="30">
        <v>6548601.0489999996</v>
      </c>
      <c r="E8" s="30">
        <v>612257.701</v>
      </c>
      <c r="F8" s="30"/>
    </row>
    <row r="9" spans="1:6" x14ac:dyDescent="0.25">
      <c r="A9" s="30" t="s">
        <v>19</v>
      </c>
      <c r="B9" s="36" t="s">
        <v>144</v>
      </c>
      <c r="C9" s="30" t="s">
        <v>288</v>
      </c>
      <c r="D9" s="30">
        <v>6548601.034</v>
      </c>
      <c r="E9" s="30">
        <v>612257.18500000006</v>
      </c>
      <c r="F9" s="30"/>
    </row>
    <row r="10" spans="1:6" x14ac:dyDescent="0.25">
      <c r="A10" s="30" t="s">
        <v>19</v>
      </c>
      <c r="B10" s="36" t="s">
        <v>146</v>
      </c>
      <c r="C10" s="30" t="s">
        <v>289</v>
      </c>
      <c r="D10" s="30">
        <v>6548604.5800000001</v>
      </c>
      <c r="E10" s="30">
        <v>612248.93299999996</v>
      </c>
      <c r="F10" s="30"/>
    </row>
    <row r="11" spans="1:6" x14ac:dyDescent="0.25">
      <c r="A11" s="30" t="s">
        <v>19</v>
      </c>
      <c r="B11" s="36" t="s">
        <v>146</v>
      </c>
      <c r="C11" s="30" t="s">
        <v>290</v>
      </c>
      <c r="D11" s="30">
        <v>6548604.4840000002</v>
      </c>
      <c r="E11" s="30">
        <v>612249.45200000005</v>
      </c>
      <c r="F11" s="30"/>
    </row>
    <row r="12" spans="1:6" x14ac:dyDescent="0.25">
      <c r="A12" s="30" t="s">
        <v>19</v>
      </c>
      <c r="B12" s="36" t="s">
        <v>146</v>
      </c>
      <c r="C12" s="30" t="s">
        <v>291</v>
      </c>
      <c r="D12" s="30">
        <v>6548604.0369999995</v>
      </c>
      <c r="E12" s="30">
        <v>612249.40800000005</v>
      </c>
      <c r="F12" s="30"/>
    </row>
    <row r="13" spans="1:6" x14ac:dyDescent="0.25">
      <c r="A13" s="30" t="s">
        <v>19</v>
      </c>
      <c r="B13" s="36" t="s">
        <v>146</v>
      </c>
      <c r="C13" s="30" t="s">
        <v>292</v>
      </c>
      <c r="D13" s="30">
        <v>6548604.0219999999</v>
      </c>
      <c r="E13" s="30">
        <v>612248.89199999999</v>
      </c>
      <c r="F13" s="30"/>
    </row>
    <row r="14" spans="1:6" x14ac:dyDescent="0.25">
      <c r="A14" s="30" t="s">
        <v>19</v>
      </c>
      <c r="B14" s="36" t="s">
        <v>149</v>
      </c>
      <c r="C14" s="30" t="s">
        <v>293</v>
      </c>
      <c r="D14" s="30">
        <v>6548598.4630000005</v>
      </c>
      <c r="E14" s="30">
        <v>612249.28399999999</v>
      </c>
      <c r="F14" s="30"/>
    </row>
    <row r="15" spans="1:6" x14ac:dyDescent="0.25">
      <c r="A15" s="30" t="s">
        <v>19</v>
      </c>
      <c r="B15" s="36" t="s">
        <v>149</v>
      </c>
      <c r="C15" s="30" t="s">
        <v>294</v>
      </c>
      <c r="D15" s="30">
        <v>6548598.5880000005</v>
      </c>
      <c r="E15" s="30">
        <v>612249.74</v>
      </c>
      <c r="F15" s="30"/>
    </row>
    <row r="16" spans="1:6" x14ac:dyDescent="0.25">
      <c r="A16" s="30" t="s">
        <v>19</v>
      </c>
      <c r="B16" s="36" t="s">
        <v>149</v>
      </c>
      <c r="C16" s="30" t="s">
        <v>295</v>
      </c>
      <c r="D16" s="30">
        <v>6548598.0329999998</v>
      </c>
      <c r="E16" s="30">
        <v>612249.81299999997</v>
      </c>
      <c r="F16" s="30"/>
    </row>
    <row r="17" spans="1:6" x14ac:dyDescent="0.25">
      <c r="A17" s="30" t="s">
        <v>19</v>
      </c>
      <c r="B17" s="36" t="s">
        <v>149</v>
      </c>
      <c r="C17" s="30" t="s">
        <v>296</v>
      </c>
      <c r="D17" s="30">
        <v>6548598.0190000003</v>
      </c>
      <c r="E17" s="30">
        <v>612249.35499999998</v>
      </c>
      <c r="F17" s="30"/>
    </row>
    <row r="18" spans="1:6" x14ac:dyDescent="0.25">
      <c r="A18" s="30" t="s">
        <v>19</v>
      </c>
      <c r="B18" s="36" t="s">
        <v>152</v>
      </c>
      <c r="C18" s="30" t="s">
        <v>297</v>
      </c>
      <c r="D18" s="30">
        <v>6548597.3760000002</v>
      </c>
      <c r="E18" s="30">
        <v>612250.23400000005</v>
      </c>
      <c r="F18" s="30"/>
    </row>
    <row r="19" spans="1:6" x14ac:dyDescent="0.25">
      <c r="A19" s="30" t="s">
        <v>19</v>
      </c>
      <c r="B19" s="36" t="s">
        <v>152</v>
      </c>
      <c r="C19" s="30" t="s">
        <v>298</v>
      </c>
      <c r="D19" s="30">
        <v>6548597.392</v>
      </c>
      <c r="E19" s="30">
        <v>612250.75</v>
      </c>
      <c r="F19" s="30"/>
    </row>
    <row r="20" spans="1:6" x14ac:dyDescent="0.25">
      <c r="A20" s="30" t="s">
        <v>19</v>
      </c>
      <c r="B20" s="36" t="s">
        <v>152</v>
      </c>
      <c r="C20" s="30" t="s">
        <v>299</v>
      </c>
      <c r="D20" s="30">
        <v>6548596.8329999996</v>
      </c>
      <c r="E20" s="30">
        <v>612250.70900000003</v>
      </c>
      <c r="F20" s="30"/>
    </row>
    <row r="21" spans="1:6" x14ac:dyDescent="0.25">
      <c r="A21" s="30" t="s">
        <v>19</v>
      </c>
      <c r="B21" s="36" t="s">
        <v>152</v>
      </c>
      <c r="C21" s="30" t="s">
        <v>300</v>
      </c>
      <c r="D21" s="30">
        <v>6548596.818</v>
      </c>
      <c r="E21" s="30">
        <v>612250.19299999997</v>
      </c>
      <c r="F21" s="30"/>
    </row>
    <row r="22" spans="1:6" x14ac:dyDescent="0.25">
      <c r="A22" s="30" t="s">
        <v>19</v>
      </c>
      <c r="B22" s="36" t="s">
        <v>154</v>
      </c>
      <c r="C22" s="30" t="s">
        <v>301</v>
      </c>
      <c r="D22" s="30">
        <v>6548595.6440000003</v>
      </c>
      <c r="E22" s="30">
        <v>612248.16200000001</v>
      </c>
      <c r="F22" s="30"/>
    </row>
    <row r="23" spans="1:6" x14ac:dyDescent="0.25">
      <c r="A23" s="30" t="s">
        <v>19</v>
      </c>
      <c r="B23" s="36" t="s">
        <v>154</v>
      </c>
      <c r="C23" s="30" t="s">
        <v>302</v>
      </c>
      <c r="D23" s="30">
        <v>6548595.6600000001</v>
      </c>
      <c r="E23" s="30">
        <v>612248.67799999996</v>
      </c>
      <c r="F23" s="30"/>
    </row>
    <row r="24" spans="1:6" x14ac:dyDescent="0.25">
      <c r="A24" s="30" t="s">
        <v>19</v>
      </c>
      <c r="B24" s="36" t="s">
        <v>154</v>
      </c>
      <c r="C24" s="30" t="s">
        <v>303</v>
      </c>
      <c r="D24" s="30">
        <v>6548595.1009999998</v>
      </c>
      <c r="E24" s="30">
        <v>612248.63699999999</v>
      </c>
      <c r="F24" s="30"/>
    </row>
    <row r="25" spans="1:6" x14ac:dyDescent="0.25">
      <c r="A25" s="30" t="s">
        <v>19</v>
      </c>
      <c r="B25" s="36" t="s">
        <v>154</v>
      </c>
      <c r="C25" s="30" t="s">
        <v>304</v>
      </c>
      <c r="D25" s="30">
        <v>6548595.199</v>
      </c>
      <c r="E25" s="30">
        <v>612248.17500000005</v>
      </c>
      <c r="F25" s="30"/>
    </row>
    <row r="26" spans="1:6" x14ac:dyDescent="0.25">
      <c r="A26" s="30" t="s">
        <v>19</v>
      </c>
      <c r="B26" s="36" t="s">
        <v>156</v>
      </c>
      <c r="C26" s="30" t="s">
        <v>305</v>
      </c>
      <c r="D26" s="30">
        <v>6548597.2960000001</v>
      </c>
      <c r="E26" s="30">
        <v>612247.48199999996</v>
      </c>
      <c r="F26" s="30"/>
    </row>
    <row r="27" spans="1:6" x14ac:dyDescent="0.25">
      <c r="A27" s="30" t="s">
        <v>19</v>
      </c>
      <c r="B27" s="36" t="s">
        <v>156</v>
      </c>
      <c r="C27" s="30" t="s">
        <v>306</v>
      </c>
      <c r="D27" s="30">
        <v>6548597.3109999998</v>
      </c>
      <c r="E27" s="30">
        <v>612247.99800000002</v>
      </c>
      <c r="F27" s="30"/>
    </row>
    <row r="28" spans="1:6" x14ac:dyDescent="0.25">
      <c r="A28" s="30" t="s">
        <v>19</v>
      </c>
      <c r="B28" s="36" t="s">
        <v>156</v>
      </c>
      <c r="C28" s="30" t="s">
        <v>307</v>
      </c>
      <c r="D28" s="30">
        <v>6548596.7539999997</v>
      </c>
      <c r="E28" s="30">
        <v>612248.01500000001</v>
      </c>
      <c r="F28" s="30"/>
    </row>
    <row r="29" spans="1:6" x14ac:dyDescent="0.25">
      <c r="A29" s="30" t="s">
        <v>19</v>
      </c>
      <c r="B29" s="36" t="s">
        <v>156</v>
      </c>
      <c r="C29" s="30" t="s">
        <v>308</v>
      </c>
      <c r="D29" s="30">
        <v>6548596.7390000001</v>
      </c>
      <c r="E29" s="30">
        <v>612247.49899999995</v>
      </c>
      <c r="F29" s="30"/>
    </row>
    <row r="30" spans="1:6" x14ac:dyDescent="0.25">
      <c r="A30" s="30" t="s">
        <v>19</v>
      </c>
      <c r="B30" s="36" t="s">
        <v>159</v>
      </c>
      <c r="C30" s="30" t="s">
        <v>309</v>
      </c>
      <c r="D30" s="54">
        <v>6548599.6569999997</v>
      </c>
      <c r="E30" s="54">
        <v>612248.21600000001</v>
      </c>
      <c r="F30" s="30"/>
    </row>
    <row r="31" spans="1:6" x14ac:dyDescent="0.25">
      <c r="A31" s="30" t="s">
        <v>19</v>
      </c>
      <c r="B31" s="36" t="s">
        <v>159</v>
      </c>
      <c r="C31" s="30" t="s">
        <v>310</v>
      </c>
      <c r="D31" s="30">
        <v>6548599.5590000004</v>
      </c>
      <c r="E31" s="30">
        <v>612248.67799999996</v>
      </c>
      <c r="F31" s="30"/>
    </row>
    <row r="32" spans="1:6" x14ac:dyDescent="0.25">
      <c r="A32" s="30" t="s">
        <v>19</v>
      </c>
      <c r="B32" s="36" t="s">
        <v>159</v>
      </c>
      <c r="C32" s="30" t="s">
        <v>311</v>
      </c>
      <c r="D32" s="30">
        <v>6548599.1140000001</v>
      </c>
      <c r="E32" s="30">
        <v>612248.69099999999</v>
      </c>
      <c r="F32" s="30"/>
    </row>
    <row r="33" spans="1:6" x14ac:dyDescent="0.25">
      <c r="A33" s="30" t="s">
        <v>19</v>
      </c>
      <c r="B33" s="36" t="s">
        <v>159</v>
      </c>
      <c r="C33" s="30" t="s">
        <v>312</v>
      </c>
      <c r="D33" s="30">
        <v>6548599.0990000004</v>
      </c>
      <c r="E33" s="30">
        <v>612248.17500000005</v>
      </c>
      <c r="F33" s="30"/>
    </row>
    <row r="34" spans="1:6" x14ac:dyDescent="0.25">
      <c r="A34" s="30" t="s">
        <v>19</v>
      </c>
      <c r="B34" s="36" t="s">
        <v>313</v>
      </c>
      <c r="C34" s="30" t="s">
        <v>314</v>
      </c>
      <c r="D34" s="30">
        <v>6548579.6550000003</v>
      </c>
      <c r="E34" s="30">
        <v>612236.43200000003</v>
      </c>
      <c r="F34" s="30"/>
    </row>
    <row r="35" spans="1:6" x14ac:dyDescent="0.25">
      <c r="A35" s="30" t="s">
        <v>19</v>
      </c>
      <c r="B35" s="36" t="s">
        <v>313</v>
      </c>
      <c r="C35" s="30" t="s">
        <v>315</v>
      </c>
      <c r="D35" s="30">
        <v>6548579.568</v>
      </c>
      <c r="E35" s="30">
        <v>612266.42200000002</v>
      </c>
      <c r="F35" s="30"/>
    </row>
    <row r="36" spans="1:6" x14ac:dyDescent="0.25">
      <c r="A36" s="30" t="s">
        <v>19</v>
      </c>
      <c r="B36" s="36" t="s">
        <v>127</v>
      </c>
      <c r="C36" s="30" t="s">
        <v>316</v>
      </c>
      <c r="D36" s="30">
        <v>6548579.648</v>
      </c>
      <c r="E36" s="30">
        <v>612251.68799999997</v>
      </c>
      <c r="F36" s="30"/>
    </row>
    <row r="37" spans="1:6" x14ac:dyDescent="0.25">
      <c r="A37" s="30" t="s">
        <v>19</v>
      </c>
      <c r="B37" s="36" t="s">
        <v>127</v>
      </c>
      <c r="C37" s="30" t="s">
        <v>317</v>
      </c>
      <c r="D37" s="30">
        <v>6548579.1069999998</v>
      </c>
      <c r="E37" s="30">
        <v>612252.18900000001</v>
      </c>
      <c r="F37" s="30"/>
    </row>
    <row r="38" spans="1:6" x14ac:dyDescent="0.25">
      <c r="A38" s="30" t="s">
        <v>19</v>
      </c>
      <c r="B38" s="36" t="s">
        <v>129</v>
      </c>
      <c r="C38" s="30" t="s">
        <v>318</v>
      </c>
      <c r="D38" s="30">
        <v>6548579.5</v>
      </c>
      <c r="E38" s="30">
        <v>612261.397</v>
      </c>
      <c r="F38" s="30"/>
    </row>
    <row r="39" spans="1:6" x14ac:dyDescent="0.25">
      <c r="A39" s="30" t="s">
        <v>19</v>
      </c>
      <c r="B39" s="36" t="s">
        <v>129</v>
      </c>
      <c r="C39" s="30" t="s">
        <v>319</v>
      </c>
      <c r="D39" s="30">
        <v>6548578.9780000001</v>
      </c>
      <c r="E39" s="30">
        <v>612261.88600000006</v>
      </c>
      <c r="F39" s="30"/>
    </row>
    <row r="40" spans="1:6" x14ac:dyDescent="0.25">
      <c r="A40" s="30" t="s">
        <v>19</v>
      </c>
      <c r="B40" s="36" t="s">
        <v>320</v>
      </c>
      <c r="C40" s="30" t="s">
        <v>321</v>
      </c>
      <c r="D40" s="30">
        <v>6548601.1349999998</v>
      </c>
      <c r="E40" s="30">
        <v>612245.72400000005</v>
      </c>
      <c r="F40" s="30"/>
    </row>
    <row r="41" spans="1:6" x14ac:dyDescent="0.25">
      <c r="A41" s="30" t="s">
        <v>19</v>
      </c>
      <c r="B41" s="36" t="s">
        <v>320</v>
      </c>
      <c r="C41" s="30" t="s">
        <v>322</v>
      </c>
      <c r="D41" s="30">
        <v>6548602.2230000002</v>
      </c>
      <c r="E41" s="30">
        <v>612275.67299999995</v>
      </c>
      <c r="F41" s="30"/>
    </row>
    <row r="42" spans="1:6" x14ac:dyDescent="0.25">
      <c r="A42" s="30" t="s">
        <v>19</v>
      </c>
      <c r="B42" s="36" t="s">
        <v>131</v>
      </c>
      <c r="C42" s="36" t="s">
        <v>323</v>
      </c>
      <c r="D42" s="30">
        <v>6548601.2470000004</v>
      </c>
      <c r="E42" s="30">
        <v>612247.69900000002</v>
      </c>
      <c r="F42" s="30"/>
    </row>
    <row r="43" spans="1:6" x14ac:dyDescent="0.25">
      <c r="A43" s="30" t="s">
        <v>19</v>
      </c>
      <c r="B43" s="36" t="s">
        <v>131</v>
      </c>
      <c r="C43" s="36" t="s">
        <v>324</v>
      </c>
      <c r="D43" s="30">
        <v>6548600.7319999998</v>
      </c>
      <c r="E43" s="30">
        <v>612248.15899999999</v>
      </c>
      <c r="F43" s="30"/>
    </row>
    <row r="44" spans="1:6" x14ac:dyDescent="0.25">
      <c r="A44" s="30" t="s">
        <v>19</v>
      </c>
      <c r="B44" s="36" t="s">
        <v>135</v>
      </c>
      <c r="C44" s="36" t="s">
        <v>325</v>
      </c>
      <c r="D44" s="54">
        <v>6548602.0259999996</v>
      </c>
      <c r="E44" s="54">
        <v>612267.66899999999</v>
      </c>
      <c r="F44" s="30"/>
    </row>
    <row r="45" spans="1:6" x14ac:dyDescent="0.25">
      <c r="A45" s="30" t="s">
        <v>19</v>
      </c>
      <c r="B45" s="36" t="s">
        <v>135</v>
      </c>
      <c r="C45" s="36" t="s">
        <v>326</v>
      </c>
      <c r="D45" s="30">
        <v>6548601.5420000004</v>
      </c>
      <c r="E45" s="30">
        <v>612268.17500000005</v>
      </c>
      <c r="F45" s="30"/>
    </row>
    <row r="46" spans="1:6" x14ac:dyDescent="0.25">
      <c r="A46" s="30" t="s">
        <v>19</v>
      </c>
      <c r="B46" s="36" t="s">
        <v>327</v>
      </c>
      <c r="C46" s="36" t="s">
        <v>328</v>
      </c>
      <c r="D46" s="30">
        <v>6548591.6009999998</v>
      </c>
      <c r="E46" s="30">
        <v>612242.61199999996</v>
      </c>
      <c r="F46" s="30"/>
    </row>
    <row r="47" spans="1:6" x14ac:dyDescent="0.25">
      <c r="A47" s="30" t="s">
        <v>19</v>
      </c>
      <c r="B47" s="36" t="s">
        <v>327</v>
      </c>
      <c r="C47" s="36" t="s">
        <v>329</v>
      </c>
      <c r="D47" s="30">
        <v>6548594.5070000002</v>
      </c>
      <c r="E47" s="30">
        <v>612272.40300000005</v>
      </c>
      <c r="F47" s="30"/>
    </row>
    <row r="48" spans="1:6" x14ac:dyDescent="0.25">
      <c r="A48" s="30" t="s">
        <v>19</v>
      </c>
      <c r="B48" s="36" t="s">
        <v>137</v>
      </c>
      <c r="C48" s="36" t="s">
        <v>330</v>
      </c>
      <c r="D48" s="30">
        <v>6548592.0410000002</v>
      </c>
      <c r="E48" s="30">
        <v>612247.53200000001</v>
      </c>
      <c r="F48" s="30"/>
    </row>
    <row r="49" spans="1:6" x14ac:dyDescent="0.25">
      <c r="A49" s="30" t="s">
        <v>19</v>
      </c>
      <c r="B49" s="36" t="s">
        <v>137</v>
      </c>
      <c r="C49" s="36" t="s">
        <v>331</v>
      </c>
      <c r="D49" s="30">
        <v>6548591.5410000002</v>
      </c>
      <c r="E49" s="30">
        <v>612248.09</v>
      </c>
      <c r="F49" s="30"/>
    </row>
    <row r="50" spans="1:6" x14ac:dyDescent="0.25">
      <c r="A50" s="30" t="s">
        <v>19</v>
      </c>
      <c r="B50" s="36" t="s">
        <v>140</v>
      </c>
      <c r="C50" s="36" t="s">
        <v>332</v>
      </c>
      <c r="D50" s="30">
        <v>6548592.8940000003</v>
      </c>
      <c r="E50" s="30">
        <v>612257.49899999995</v>
      </c>
      <c r="F50" s="30"/>
    </row>
    <row r="51" spans="1:6" x14ac:dyDescent="0.25">
      <c r="A51" s="30" t="s">
        <v>19</v>
      </c>
      <c r="B51" s="36" t="s">
        <v>140</v>
      </c>
      <c r="C51" s="36" t="s">
        <v>333</v>
      </c>
      <c r="D51" s="30">
        <v>6548592.4649999999</v>
      </c>
      <c r="E51" s="30">
        <v>612258.08499999996</v>
      </c>
      <c r="F51" s="30"/>
    </row>
    <row r="52" spans="1:6" x14ac:dyDescent="0.25">
      <c r="A52" s="30" t="s">
        <v>19</v>
      </c>
      <c r="B52" s="36" t="s">
        <v>142</v>
      </c>
      <c r="C52" s="36" t="s">
        <v>334</v>
      </c>
      <c r="D52" s="30">
        <v>6548594.068</v>
      </c>
      <c r="E52" s="30">
        <v>612267.36100000003</v>
      </c>
      <c r="F52" s="30"/>
    </row>
    <row r="53" spans="1:6" x14ac:dyDescent="0.25">
      <c r="A53" s="30" t="s">
        <v>19</v>
      </c>
      <c r="B53" s="36" t="s">
        <v>142</v>
      </c>
      <c r="C53" s="36" t="s">
        <v>335</v>
      </c>
      <c r="D53" s="30">
        <v>6548593.5530000003</v>
      </c>
      <c r="E53" s="30">
        <v>612267.924</v>
      </c>
      <c r="F53" s="30"/>
    </row>
    <row r="54" spans="1:6" x14ac:dyDescent="0.25">
      <c r="A54" s="30" t="s">
        <v>26</v>
      </c>
      <c r="B54" s="30" t="s">
        <v>162</v>
      </c>
      <c r="C54" s="30" t="s">
        <v>336</v>
      </c>
      <c r="D54" s="30">
        <v>6547453.1090000002</v>
      </c>
      <c r="E54" s="30">
        <v>610246.98600000003</v>
      </c>
      <c r="F54" s="30"/>
    </row>
    <row r="55" spans="1:6" x14ac:dyDescent="0.25">
      <c r="A55" s="30" t="s">
        <v>26</v>
      </c>
      <c r="B55" s="30" t="s">
        <v>162</v>
      </c>
      <c r="C55" s="30" t="s">
        <v>337</v>
      </c>
      <c r="D55" s="30">
        <v>6547452.6699999999</v>
      </c>
      <c r="E55" s="30">
        <v>610247.22900000005</v>
      </c>
      <c r="F55" s="30"/>
    </row>
    <row r="56" spans="1:6" x14ac:dyDescent="0.25">
      <c r="A56" s="30" t="s">
        <v>26</v>
      </c>
      <c r="B56" s="30" t="s">
        <v>162</v>
      </c>
      <c r="C56" s="30" t="s">
        <v>338</v>
      </c>
      <c r="D56" s="30">
        <v>6547452.4340000004</v>
      </c>
      <c r="E56" s="30">
        <v>610246.77599999995</v>
      </c>
      <c r="F56" s="30"/>
    </row>
    <row r="57" spans="1:6" x14ac:dyDescent="0.25">
      <c r="A57" s="30" t="s">
        <v>26</v>
      </c>
      <c r="B57" s="30" t="s">
        <v>162</v>
      </c>
      <c r="C57" s="30" t="s">
        <v>339</v>
      </c>
      <c r="D57" s="30">
        <v>6547452.8710000003</v>
      </c>
      <c r="E57" s="30">
        <v>610246.47699999996</v>
      </c>
      <c r="F57" s="30"/>
    </row>
    <row r="58" spans="1:6" x14ac:dyDescent="0.25">
      <c r="A58" s="30" t="s">
        <v>26</v>
      </c>
      <c r="B58" s="30" t="s">
        <v>165</v>
      </c>
      <c r="C58" s="30" t="s">
        <v>340</v>
      </c>
      <c r="D58" s="30">
        <v>6547455.1409999998</v>
      </c>
      <c r="E58" s="30">
        <v>610244.05799999996</v>
      </c>
      <c r="F58" s="30"/>
    </row>
    <row r="59" spans="1:6" x14ac:dyDescent="0.25">
      <c r="A59" s="30" t="s">
        <v>26</v>
      </c>
      <c r="B59" s="30" t="s">
        <v>165</v>
      </c>
      <c r="C59" s="30" t="s">
        <v>341</v>
      </c>
      <c r="D59" s="30">
        <v>6547454.5860000001</v>
      </c>
      <c r="E59" s="30">
        <v>610244.13100000005</v>
      </c>
      <c r="F59" s="30"/>
    </row>
    <row r="60" spans="1:6" x14ac:dyDescent="0.25">
      <c r="A60" s="30" t="s">
        <v>26</v>
      </c>
      <c r="B60" s="30" t="s">
        <v>165</v>
      </c>
      <c r="C60" s="30" t="s">
        <v>342</v>
      </c>
      <c r="D60" s="30">
        <v>6547454.4579999996</v>
      </c>
      <c r="E60" s="30">
        <v>610243.56099999999</v>
      </c>
      <c r="F60" s="30"/>
    </row>
    <row r="61" spans="1:6" x14ac:dyDescent="0.25">
      <c r="A61" s="30" t="s">
        <v>26</v>
      </c>
      <c r="B61" s="30" t="s">
        <v>165</v>
      </c>
      <c r="C61" s="30" t="s">
        <v>343</v>
      </c>
      <c r="D61" s="30">
        <v>6547454.9019999998</v>
      </c>
      <c r="E61" s="30">
        <v>610243.49100000004</v>
      </c>
      <c r="F61" s="30"/>
    </row>
    <row r="62" spans="1:6" x14ac:dyDescent="0.25">
      <c r="A62" s="30" t="s">
        <v>26</v>
      </c>
      <c r="B62" s="30" t="s">
        <v>168</v>
      </c>
      <c r="C62" s="30" t="s">
        <v>344</v>
      </c>
      <c r="D62" s="30">
        <v>6547453.3229999999</v>
      </c>
      <c r="E62" s="30">
        <v>610238.94400000002</v>
      </c>
      <c r="F62" s="30"/>
    </row>
    <row r="63" spans="1:6" x14ac:dyDescent="0.25">
      <c r="A63" s="30" t="s">
        <v>26</v>
      </c>
      <c r="B63" s="30" t="s">
        <v>168</v>
      </c>
      <c r="C63" s="30" t="s">
        <v>345</v>
      </c>
      <c r="D63" s="30">
        <v>6547452.8810000001</v>
      </c>
      <c r="E63" s="30">
        <v>610239.07200000004</v>
      </c>
      <c r="F63" s="30"/>
    </row>
    <row r="64" spans="1:6" x14ac:dyDescent="0.25">
      <c r="A64" s="30" t="s">
        <v>26</v>
      </c>
      <c r="B64" s="30" t="s">
        <v>168</v>
      </c>
      <c r="C64" s="30" t="s">
        <v>346</v>
      </c>
      <c r="D64" s="30">
        <v>6547452.7549999999</v>
      </c>
      <c r="E64" s="30">
        <v>610238.55900000001</v>
      </c>
      <c r="F64" s="30"/>
    </row>
    <row r="65" spans="1:6" x14ac:dyDescent="0.25">
      <c r="A65" s="30" t="s">
        <v>26</v>
      </c>
      <c r="B65" s="30" t="s">
        <v>168</v>
      </c>
      <c r="C65" s="30" t="s">
        <v>347</v>
      </c>
      <c r="D65" s="30">
        <v>6547453.3080000002</v>
      </c>
      <c r="E65" s="30">
        <v>610238.42799999996</v>
      </c>
      <c r="F65" s="30"/>
    </row>
    <row r="66" spans="1:6" x14ac:dyDescent="0.25">
      <c r="A66" s="30" t="s">
        <v>26</v>
      </c>
      <c r="B66" s="30" t="s">
        <v>172</v>
      </c>
      <c r="C66" s="30" t="s">
        <v>348</v>
      </c>
      <c r="D66" s="30">
        <v>6547448.6370000001</v>
      </c>
      <c r="E66" s="30">
        <v>610238.73499999999</v>
      </c>
      <c r="F66" s="30"/>
    </row>
    <row r="67" spans="1:6" x14ac:dyDescent="0.25">
      <c r="A67" s="30" t="s">
        <v>26</v>
      </c>
      <c r="B67" s="30" t="s">
        <v>172</v>
      </c>
      <c r="C67" s="30" t="s">
        <v>349</v>
      </c>
      <c r="D67" s="30">
        <v>6547448.0820000004</v>
      </c>
      <c r="E67" s="30">
        <v>610238.80799999996</v>
      </c>
      <c r="F67" s="30"/>
    </row>
    <row r="68" spans="1:6" x14ac:dyDescent="0.25">
      <c r="A68" s="30" t="s">
        <v>26</v>
      </c>
      <c r="B68" s="30" t="s">
        <v>172</v>
      </c>
      <c r="C68" s="30" t="s">
        <v>350</v>
      </c>
      <c r="D68" s="30">
        <v>6547447.9560000002</v>
      </c>
      <c r="E68" s="30">
        <v>610238.29500000004</v>
      </c>
      <c r="F68" s="30"/>
    </row>
    <row r="69" spans="1:6" x14ac:dyDescent="0.25">
      <c r="A69" s="30" t="s">
        <v>26</v>
      </c>
      <c r="B69" s="30" t="s">
        <v>172</v>
      </c>
      <c r="C69" s="30" t="s">
        <v>351</v>
      </c>
      <c r="D69" s="30">
        <v>6547448.5130000003</v>
      </c>
      <c r="E69" s="30">
        <v>610238.27899999998</v>
      </c>
      <c r="F69" s="30"/>
    </row>
    <row r="70" spans="1:6" x14ac:dyDescent="0.25">
      <c r="A70" s="30" t="s">
        <v>26</v>
      </c>
      <c r="B70" s="30" t="s">
        <v>174</v>
      </c>
      <c r="C70" s="30" t="s">
        <v>352</v>
      </c>
      <c r="D70" s="30">
        <v>6547449.7450000001</v>
      </c>
      <c r="E70" s="30">
        <v>610234.62800000003</v>
      </c>
      <c r="F70" s="30"/>
    </row>
    <row r="71" spans="1:6" x14ac:dyDescent="0.25">
      <c r="A71" s="30" t="s">
        <v>26</v>
      </c>
      <c r="B71" s="30" t="s">
        <v>174</v>
      </c>
      <c r="C71" s="30" t="s">
        <v>353</v>
      </c>
      <c r="D71" s="30">
        <v>6547449.2999999998</v>
      </c>
      <c r="E71" s="30">
        <v>610234.64099999995</v>
      </c>
      <c r="F71" s="30"/>
    </row>
    <row r="72" spans="1:6" x14ac:dyDescent="0.25">
      <c r="A72" s="30" t="s">
        <v>26</v>
      </c>
      <c r="B72" s="30" t="s">
        <v>174</v>
      </c>
      <c r="C72" s="30" t="s">
        <v>354</v>
      </c>
      <c r="D72" s="30">
        <v>6547449.1720000003</v>
      </c>
      <c r="E72" s="30">
        <v>610234.06999999995</v>
      </c>
      <c r="F72" s="30"/>
    </row>
    <row r="73" spans="1:6" x14ac:dyDescent="0.25">
      <c r="A73" s="30" t="s">
        <v>26</v>
      </c>
      <c r="B73" s="30" t="s">
        <v>174</v>
      </c>
      <c r="C73" s="30" t="s">
        <v>355</v>
      </c>
      <c r="D73" s="30">
        <v>6547449.727</v>
      </c>
      <c r="E73" s="30">
        <v>610233.99699999997</v>
      </c>
      <c r="F73" s="30"/>
    </row>
    <row r="74" spans="1:6" x14ac:dyDescent="0.25">
      <c r="A74" s="30" t="s">
        <v>26</v>
      </c>
      <c r="B74" s="30" t="s">
        <v>176</v>
      </c>
      <c r="C74" s="30" t="s">
        <v>356</v>
      </c>
      <c r="D74" s="30">
        <v>6547451.7369999997</v>
      </c>
      <c r="E74" s="30">
        <v>610234.16899999999</v>
      </c>
      <c r="F74" s="30"/>
    </row>
    <row r="75" spans="1:6" x14ac:dyDescent="0.25">
      <c r="A75" s="30" t="s">
        <v>26</v>
      </c>
      <c r="B75" s="30" t="s">
        <v>176</v>
      </c>
      <c r="C75" s="30" t="s">
        <v>357</v>
      </c>
      <c r="D75" s="30">
        <v>6547451.2929999996</v>
      </c>
      <c r="E75" s="30">
        <v>610234.23899999994</v>
      </c>
      <c r="F75" s="30"/>
    </row>
    <row r="76" spans="1:6" x14ac:dyDescent="0.25">
      <c r="A76" s="30" t="s">
        <v>26</v>
      </c>
      <c r="B76" s="30" t="s">
        <v>176</v>
      </c>
      <c r="C76" s="30" t="s">
        <v>358</v>
      </c>
      <c r="D76" s="30">
        <v>6547451.1689999998</v>
      </c>
      <c r="E76" s="30">
        <v>610233.78300000005</v>
      </c>
      <c r="F76" s="30"/>
    </row>
    <row r="77" spans="1:6" x14ac:dyDescent="0.25">
      <c r="A77" s="30" t="s">
        <v>26</v>
      </c>
      <c r="B77" s="30" t="s">
        <v>176</v>
      </c>
      <c r="C77" s="30" t="s">
        <v>359</v>
      </c>
      <c r="D77" s="30">
        <v>6547451.6090000002</v>
      </c>
      <c r="E77" s="30">
        <v>610233.598</v>
      </c>
      <c r="F77" s="30"/>
    </row>
    <row r="78" spans="1:6" x14ac:dyDescent="0.25">
      <c r="A78" s="30" t="s">
        <v>26</v>
      </c>
      <c r="B78" s="30" t="s">
        <v>182</v>
      </c>
      <c r="C78" s="30" t="s">
        <v>360</v>
      </c>
      <c r="D78" s="30">
        <v>6547491.9950000001</v>
      </c>
      <c r="E78" s="30">
        <v>610219.98100000003</v>
      </c>
      <c r="F78" s="30"/>
    </row>
    <row r="79" spans="1:6" x14ac:dyDescent="0.25">
      <c r="A79" s="30" t="s">
        <v>26</v>
      </c>
      <c r="B79" s="30" t="s">
        <v>182</v>
      </c>
      <c r="C79" s="30" t="s">
        <v>361</v>
      </c>
      <c r="D79" s="30">
        <v>6547491.4380000001</v>
      </c>
      <c r="E79" s="30">
        <v>610219.99699999997</v>
      </c>
      <c r="F79" s="30"/>
    </row>
    <row r="80" spans="1:6" x14ac:dyDescent="0.25">
      <c r="A80" s="30" t="s">
        <v>26</v>
      </c>
      <c r="B80" s="30" t="s">
        <v>182</v>
      </c>
      <c r="C80" s="30" t="s">
        <v>362</v>
      </c>
      <c r="D80" s="30">
        <v>6547491.4239999996</v>
      </c>
      <c r="E80" s="30">
        <v>610219.48100000003</v>
      </c>
      <c r="F80" s="30"/>
    </row>
    <row r="81" spans="1:8" x14ac:dyDescent="0.25">
      <c r="A81" s="30" t="s">
        <v>26</v>
      </c>
      <c r="B81" s="30" t="s">
        <v>182</v>
      </c>
      <c r="C81" s="30" t="s">
        <v>363</v>
      </c>
      <c r="D81" s="30">
        <v>6547491.8689999999</v>
      </c>
      <c r="E81" s="30">
        <v>610219.46799999999</v>
      </c>
      <c r="F81" s="30"/>
    </row>
    <row r="82" spans="1:8" x14ac:dyDescent="0.25">
      <c r="A82" s="30" t="s">
        <v>26</v>
      </c>
      <c r="B82" s="3" t="s">
        <v>206</v>
      </c>
      <c r="C82" s="3" t="s">
        <v>364</v>
      </c>
      <c r="D82" s="30">
        <v>6547453.7570000002</v>
      </c>
      <c r="E82" s="30">
        <v>610234.68500000006</v>
      </c>
      <c r="F82" s="30"/>
    </row>
    <row r="83" spans="1:8" x14ac:dyDescent="0.25">
      <c r="A83" s="30" t="s">
        <v>26</v>
      </c>
      <c r="B83" s="3" t="s">
        <v>206</v>
      </c>
      <c r="C83" s="3" t="s">
        <v>365</v>
      </c>
      <c r="D83" s="30">
        <v>6547453.199</v>
      </c>
      <c r="E83" s="30">
        <v>610234.64300000004</v>
      </c>
      <c r="F83" s="30"/>
    </row>
    <row r="84" spans="1:8" x14ac:dyDescent="0.25">
      <c r="A84" s="30" t="s">
        <v>26</v>
      </c>
      <c r="B84" s="3" t="s">
        <v>206</v>
      </c>
      <c r="C84" s="3" t="s">
        <v>366</v>
      </c>
      <c r="D84" s="30">
        <v>6547453.1830000002</v>
      </c>
      <c r="E84" s="30">
        <v>610234.06999999995</v>
      </c>
      <c r="F84" s="30"/>
    </row>
    <row r="85" spans="1:8" x14ac:dyDescent="0.25">
      <c r="A85" s="30" t="s">
        <v>26</v>
      </c>
      <c r="B85" s="3" t="s">
        <v>206</v>
      </c>
      <c r="C85" s="3" t="s">
        <v>367</v>
      </c>
      <c r="D85" s="30">
        <v>6547453.7429999998</v>
      </c>
      <c r="E85" s="30">
        <v>610234.16799999995</v>
      </c>
      <c r="F85" s="30"/>
    </row>
    <row r="86" spans="1:8" x14ac:dyDescent="0.25">
      <c r="A86" s="30" t="s">
        <v>26</v>
      </c>
      <c r="B86" s="3" t="s">
        <v>232</v>
      </c>
      <c r="C86" s="3" t="s">
        <v>368</v>
      </c>
      <c r="D86" s="30">
        <v>6547455.9620000003</v>
      </c>
      <c r="E86" s="30">
        <v>610233.875</v>
      </c>
      <c r="F86" s="30"/>
    </row>
    <row r="87" spans="1:8" x14ac:dyDescent="0.25">
      <c r="A87" s="30" t="s">
        <v>26</v>
      </c>
      <c r="B87" s="3" t="s">
        <v>232</v>
      </c>
      <c r="C87" s="3" t="s">
        <v>369</v>
      </c>
      <c r="D87" s="30">
        <v>6547455.4019999998</v>
      </c>
      <c r="E87" s="30">
        <v>610233.77599999995</v>
      </c>
      <c r="F87" s="30"/>
    </row>
    <row r="88" spans="1:8" x14ac:dyDescent="0.25">
      <c r="A88" s="30" t="s">
        <v>26</v>
      </c>
      <c r="B88" s="3" t="s">
        <v>232</v>
      </c>
      <c r="C88" s="3" t="s">
        <v>370</v>
      </c>
      <c r="D88" s="30">
        <v>6547455.4989999998</v>
      </c>
      <c r="E88" s="30">
        <v>610233.25699999998</v>
      </c>
      <c r="F88" s="30"/>
      <c r="G88" s="30"/>
      <c r="H88" s="30"/>
    </row>
    <row r="89" spans="1:8" x14ac:dyDescent="0.25">
      <c r="A89" s="30" t="s">
        <v>26</v>
      </c>
      <c r="B89" s="3" t="s">
        <v>232</v>
      </c>
      <c r="C89" s="3" t="s">
        <v>371</v>
      </c>
      <c r="D89" s="30">
        <v>6547456.057</v>
      </c>
      <c r="E89" s="30">
        <v>610233.29799999995</v>
      </c>
      <c r="F89" s="30"/>
    </row>
    <row r="90" spans="1:8" x14ac:dyDescent="0.25">
      <c r="A90" s="30" t="s">
        <v>26</v>
      </c>
      <c r="B90" s="30" t="s">
        <v>234</v>
      </c>
      <c r="C90" s="30" t="s">
        <v>372</v>
      </c>
      <c r="D90" s="30">
        <v>6547457.7429999998</v>
      </c>
      <c r="E90" s="30">
        <v>610229.92099999997</v>
      </c>
      <c r="F90" s="30"/>
    </row>
    <row r="91" spans="1:8" x14ac:dyDescent="0.25">
      <c r="A91" s="30" t="s">
        <v>26</v>
      </c>
      <c r="B91" s="30" t="s">
        <v>234</v>
      </c>
      <c r="C91" s="30" t="s">
        <v>373</v>
      </c>
      <c r="D91" s="30">
        <v>6547457.3059999999</v>
      </c>
      <c r="E91" s="30">
        <v>610230.22</v>
      </c>
      <c r="F91" s="30"/>
    </row>
    <row r="92" spans="1:8" x14ac:dyDescent="0.25">
      <c r="A92" s="30" t="s">
        <v>26</v>
      </c>
      <c r="B92" s="30" t="s">
        <v>234</v>
      </c>
      <c r="C92" s="30" t="s">
        <v>374</v>
      </c>
      <c r="D92" s="30">
        <v>6547456.8449999997</v>
      </c>
      <c r="E92" s="30">
        <v>610229.71699999995</v>
      </c>
      <c r="F92" s="30"/>
    </row>
    <row r="93" spans="1:8" x14ac:dyDescent="0.25">
      <c r="A93" s="30" t="s">
        <v>26</v>
      </c>
      <c r="B93" s="30" t="s">
        <v>234</v>
      </c>
      <c r="C93" s="30" t="s">
        <v>375</v>
      </c>
      <c r="D93" s="30">
        <v>6547457.284</v>
      </c>
      <c r="E93" s="30">
        <v>610229.47499999998</v>
      </c>
      <c r="F93" s="30"/>
    </row>
    <row r="94" spans="1:8" x14ac:dyDescent="0.25">
      <c r="A94" s="30" t="s">
        <v>26</v>
      </c>
      <c r="B94" s="30" t="s">
        <v>272</v>
      </c>
      <c r="C94" s="30" t="s">
        <v>376</v>
      </c>
      <c r="D94" s="30">
        <v>6547482.3080000002</v>
      </c>
      <c r="E94" s="30">
        <v>610220.20200000005</v>
      </c>
      <c r="F94" s="30"/>
    </row>
    <row r="95" spans="1:8" x14ac:dyDescent="0.25">
      <c r="A95" s="30" t="s">
        <v>26</v>
      </c>
      <c r="B95" s="30" t="s">
        <v>272</v>
      </c>
      <c r="C95" s="30" t="s">
        <v>377</v>
      </c>
      <c r="D95" s="30">
        <v>6547481.8609999996</v>
      </c>
      <c r="E95" s="30">
        <v>610220.15800000005</v>
      </c>
      <c r="F95" s="30"/>
    </row>
    <row r="96" spans="1:8" x14ac:dyDescent="0.25">
      <c r="A96" s="30" t="s">
        <v>26</v>
      </c>
      <c r="B96" s="30" t="s">
        <v>272</v>
      </c>
      <c r="C96" s="30" t="s">
        <v>378</v>
      </c>
      <c r="D96" s="30">
        <v>6547481.8470000001</v>
      </c>
      <c r="E96" s="30">
        <v>610219.64199999999</v>
      </c>
      <c r="F96" s="30"/>
    </row>
    <row r="97" spans="1:6" x14ac:dyDescent="0.25">
      <c r="A97" s="30" t="s">
        <v>26</v>
      </c>
      <c r="B97" s="30" t="s">
        <v>272</v>
      </c>
      <c r="C97" s="30" t="s">
        <v>379</v>
      </c>
      <c r="D97" s="30">
        <v>6547482.4029999999</v>
      </c>
      <c r="E97" s="30">
        <v>610219.62600000005</v>
      </c>
      <c r="F97" s="30"/>
    </row>
    <row r="98" spans="1:6" x14ac:dyDescent="0.25">
      <c r="A98" s="30" t="s">
        <v>26</v>
      </c>
      <c r="B98" s="30" t="s">
        <v>275</v>
      </c>
      <c r="C98" s="30" t="s">
        <v>380</v>
      </c>
      <c r="D98" s="30">
        <v>6547497.6469999999</v>
      </c>
      <c r="E98" s="30">
        <v>610222.80299999996</v>
      </c>
      <c r="F98" s="30"/>
    </row>
    <row r="99" spans="1:6" x14ac:dyDescent="0.25">
      <c r="A99" s="30" t="s">
        <v>26</v>
      </c>
      <c r="B99" s="30" t="s">
        <v>275</v>
      </c>
      <c r="C99" s="30" t="s">
        <v>381</v>
      </c>
      <c r="D99" s="30">
        <v>6547497.0949999997</v>
      </c>
      <c r="E99" s="30">
        <v>610222.99100000004</v>
      </c>
      <c r="F99" s="30"/>
    </row>
    <row r="100" spans="1:6" x14ac:dyDescent="0.25">
      <c r="A100" s="30" t="s">
        <v>26</v>
      </c>
      <c r="B100" s="30" t="s">
        <v>275</v>
      </c>
      <c r="C100" s="30" t="s">
        <v>382</v>
      </c>
      <c r="D100" s="30">
        <v>6547496.9709999999</v>
      </c>
      <c r="E100" s="30">
        <v>610222.53599999996</v>
      </c>
      <c r="F100" s="30"/>
    </row>
    <row r="101" spans="1:6" x14ac:dyDescent="0.25">
      <c r="A101" s="30" t="s">
        <v>26</v>
      </c>
      <c r="B101" s="30" t="s">
        <v>275</v>
      </c>
      <c r="C101" s="30" t="s">
        <v>383</v>
      </c>
      <c r="D101" s="30">
        <v>6547497.409</v>
      </c>
      <c r="E101" s="30">
        <v>610222.29299999995</v>
      </c>
      <c r="F101" s="30"/>
    </row>
    <row r="102" spans="1:6" x14ac:dyDescent="0.25">
      <c r="A102" s="30" t="s">
        <v>26</v>
      </c>
      <c r="B102" s="30" t="s">
        <v>384</v>
      </c>
      <c r="C102" s="30" t="s">
        <v>385</v>
      </c>
      <c r="D102" s="30">
        <v>6547557.3669999996</v>
      </c>
      <c r="E102" s="30">
        <v>610241.66299999994</v>
      </c>
      <c r="F102" s="30"/>
    </row>
    <row r="103" spans="1:6" x14ac:dyDescent="0.25">
      <c r="A103" s="30" t="s">
        <v>26</v>
      </c>
      <c r="B103" s="30" t="s">
        <v>384</v>
      </c>
      <c r="C103" s="30" t="s">
        <v>386</v>
      </c>
      <c r="D103" s="30">
        <v>6547513.3430000003</v>
      </c>
      <c r="E103" s="30">
        <v>610218.66599999997</v>
      </c>
      <c r="F103" s="30"/>
    </row>
    <row r="104" spans="1:6" x14ac:dyDescent="0.25">
      <c r="A104" s="30" t="s">
        <v>26</v>
      </c>
      <c r="B104" s="30" t="s">
        <v>186</v>
      </c>
      <c r="C104" s="30" t="s">
        <v>387</v>
      </c>
      <c r="D104" s="30">
        <v>6547517.8310000002</v>
      </c>
      <c r="E104" s="30">
        <v>610220.86399999994</v>
      </c>
      <c r="F104" s="30"/>
    </row>
    <row r="105" spans="1:6" x14ac:dyDescent="0.25">
      <c r="A105" s="30" t="s">
        <v>26</v>
      </c>
      <c r="B105" s="30" t="s">
        <v>186</v>
      </c>
      <c r="C105" s="30" t="s">
        <v>388</v>
      </c>
      <c r="D105" s="30">
        <v>6547518.0410000002</v>
      </c>
      <c r="E105" s="30">
        <v>610221.47100000002</v>
      </c>
      <c r="F105" s="30"/>
    </row>
    <row r="106" spans="1:6" x14ac:dyDescent="0.25">
      <c r="A106" s="30" t="s">
        <v>26</v>
      </c>
      <c r="B106" s="30" t="s">
        <v>189</v>
      </c>
      <c r="C106" s="30" t="s">
        <v>389</v>
      </c>
      <c r="D106" s="30">
        <v>6547526.8300000001</v>
      </c>
      <c r="E106" s="30">
        <v>610225.87100000004</v>
      </c>
      <c r="F106" s="30"/>
    </row>
    <row r="107" spans="1:6" x14ac:dyDescent="0.25">
      <c r="A107" s="30" t="s">
        <v>26</v>
      </c>
      <c r="B107" s="30" t="s">
        <v>189</v>
      </c>
      <c r="C107" s="30" t="s">
        <v>390</v>
      </c>
      <c r="D107" s="30">
        <v>6547526.6890000002</v>
      </c>
      <c r="E107" s="30">
        <v>610225.196</v>
      </c>
      <c r="F107" s="30"/>
    </row>
    <row r="108" spans="1:6" x14ac:dyDescent="0.25">
      <c r="A108" s="30" t="s">
        <v>26</v>
      </c>
      <c r="B108" s="30" t="s">
        <v>192</v>
      </c>
      <c r="C108" s="30" t="s">
        <v>391</v>
      </c>
      <c r="D108" s="30">
        <v>6547535.4840000002</v>
      </c>
      <c r="E108" s="30">
        <v>610229.821</v>
      </c>
      <c r="F108" s="30"/>
    </row>
    <row r="109" spans="1:6" x14ac:dyDescent="0.25">
      <c r="A109" s="30" t="s">
        <v>26</v>
      </c>
      <c r="B109" s="30" t="s">
        <v>192</v>
      </c>
      <c r="C109" s="30" t="s">
        <v>392</v>
      </c>
      <c r="D109" s="30">
        <v>6547535.6720000003</v>
      </c>
      <c r="E109" s="30">
        <v>610230.429</v>
      </c>
      <c r="F109" s="30"/>
    </row>
    <row r="110" spans="1:6" x14ac:dyDescent="0.25">
      <c r="A110" s="30" t="s">
        <v>26</v>
      </c>
      <c r="B110" s="30" t="s">
        <v>196</v>
      </c>
      <c r="C110" s="30" t="s">
        <v>393</v>
      </c>
      <c r="D110" s="30">
        <v>6547544.307</v>
      </c>
      <c r="E110" s="30">
        <v>610234.41899999999</v>
      </c>
      <c r="F110" s="30"/>
    </row>
    <row r="111" spans="1:6" x14ac:dyDescent="0.25">
      <c r="A111" s="30" t="s">
        <v>26</v>
      </c>
      <c r="B111" s="30" t="s">
        <v>196</v>
      </c>
      <c r="C111" s="30" t="s">
        <v>394</v>
      </c>
      <c r="D111" s="30">
        <v>6547544.54</v>
      </c>
      <c r="E111" s="30">
        <v>610235.11899999995</v>
      </c>
      <c r="F111" s="30"/>
    </row>
    <row r="112" spans="1:6" x14ac:dyDescent="0.25">
      <c r="A112" s="30" t="s">
        <v>26</v>
      </c>
      <c r="B112" s="30" t="s">
        <v>199</v>
      </c>
      <c r="C112" s="30" t="s">
        <v>395</v>
      </c>
      <c r="D112" s="30">
        <v>6547552.9919999996</v>
      </c>
      <c r="E112" s="30">
        <v>610239.29500000004</v>
      </c>
      <c r="F112" s="30"/>
    </row>
    <row r="113" spans="1:6" x14ac:dyDescent="0.25">
      <c r="A113" s="30" t="s">
        <v>26</v>
      </c>
      <c r="B113" s="30" t="s">
        <v>199</v>
      </c>
      <c r="C113" s="30" t="s">
        <v>396</v>
      </c>
      <c r="D113" s="30">
        <v>6547553.1600000001</v>
      </c>
      <c r="E113" s="30">
        <v>610239.91099999996</v>
      </c>
      <c r="F113" s="30"/>
    </row>
    <row r="114" spans="1:6" x14ac:dyDescent="0.25">
      <c r="A114" s="30" t="s">
        <v>26</v>
      </c>
      <c r="B114" s="30" t="s">
        <v>397</v>
      </c>
      <c r="C114" s="30" t="s">
        <v>398</v>
      </c>
      <c r="D114" s="30">
        <v>6547562.1109999996</v>
      </c>
      <c r="E114" s="30">
        <v>610231.02899999998</v>
      </c>
      <c r="F114" s="30"/>
    </row>
    <row r="115" spans="1:6" x14ac:dyDescent="0.25">
      <c r="A115" s="30" t="s">
        <v>26</v>
      </c>
      <c r="B115" s="30" t="s">
        <v>397</v>
      </c>
      <c r="C115" s="30" t="s">
        <v>399</v>
      </c>
      <c r="D115" s="30">
        <v>6547517.9380000001</v>
      </c>
      <c r="E115" s="30">
        <v>610208.24399999995</v>
      </c>
      <c r="F115" s="30"/>
    </row>
    <row r="116" spans="1:6" x14ac:dyDescent="0.25">
      <c r="A116" s="30" t="s">
        <v>26</v>
      </c>
      <c r="B116" s="30" t="s">
        <v>201</v>
      </c>
      <c r="C116" s="30" t="s">
        <v>400</v>
      </c>
      <c r="D116" s="30">
        <v>6547522.3300000001</v>
      </c>
      <c r="E116" s="30">
        <v>610210.47699999996</v>
      </c>
      <c r="F116" s="30"/>
    </row>
    <row r="117" spans="1:6" x14ac:dyDescent="0.25">
      <c r="A117" s="30" t="s">
        <v>26</v>
      </c>
      <c r="B117" s="30" t="s">
        <v>201</v>
      </c>
      <c r="C117" s="30" t="s">
        <v>401</v>
      </c>
      <c r="D117" s="30">
        <v>6547522.5259999996</v>
      </c>
      <c r="E117" s="30">
        <v>610211.16500000004</v>
      </c>
      <c r="F117" s="30"/>
    </row>
    <row r="118" spans="1:6" x14ac:dyDescent="0.25">
      <c r="A118" s="30" t="s">
        <v>26</v>
      </c>
      <c r="B118" s="30" t="s">
        <v>204</v>
      </c>
      <c r="C118" s="30" t="s">
        <v>402</v>
      </c>
      <c r="D118" s="30">
        <v>6547531.2369999997</v>
      </c>
      <c r="E118" s="30">
        <v>610215.02</v>
      </c>
      <c r="F118" s="30"/>
    </row>
    <row r="119" spans="1:6" x14ac:dyDescent="0.25">
      <c r="A119" s="30" t="s">
        <v>26</v>
      </c>
      <c r="B119" s="30" t="s">
        <v>204</v>
      </c>
      <c r="C119" s="30" t="s">
        <v>403</v>
      </c>
      <c r="D119" s="30">
        <v>6547531.3880000003</v>
      </c>
      <c r="E119" s="30">
        <v>610215.63800000004</v>
      </c>
      <c r="F119" s="30"/>
    </row>
    <row r="120" spans="1:6" x14ac:dyDescent="0.25">
      <c r="A120" s="30" t="s">
        <v>26</v>
      </c>
      <c r="B120" s="30" t="s">
        <v>208</v>
      </c>
      <c r="C120" s="30" t="s">
        <v>404</v>
      </c>
      <c r="D120" s="30">
        <v>6547539.7120000003</v>
      </c>
      <c r="E120" s="30">
        <v>610219.33400000003</v>
      </c>
      <c r="F120" s="30"/>
    </row>
    <row r="121" spans="1:6" x14ac:dyDescent="0.25">
      <c r="A121" s="30" t="s">
        <v>26</v>
      </c>
      <c r="B121" s="30" t="s">
        <v>208</v>
      </c>
      <c r="C121" s="30" t="s">
        <v>405</v>
      </c>
      <c r="D121" s="30">
        <v>6547539.9400000004</v>
      </c>
      <c r="E121" s="30">
        <v>610219.91700000002</v>
      </c>
      <c r="F121" s="30"/>
    </row>
    <row r="122" spans="1:6" x14ac:dyDescent="0.25">
      <c r="A122" s="30" t="s">
        <v>26</v>
      </c>
      <c r="B122" s="30" t="s">
        <v>211</v>
      </c>
      <c r="C122" s="30" t="s">
        <v>406</v>
      </c>
      <c r="D122" s="30">
        <v>6547548.9359999998</v>
      </c>
      <c r="E122" s="30">
        <v>610224.09400000004</v>
      </c>
      <c r="F122" s="30"/>
    </row>
    <row r="123" spans="1:6" x14ac:dyDescent="0.25">
      <c r="A123" s="30" t="s">
        <v>26</v>
      </c>
      <c r="B123" s="30" t="s">
        <v>211</v>
      </c>
      <c r="C123" s="30" t="s">
        <v>407</v>
      </c>
      <c r="D123" s="30">
        <v>6547549.1239999998</v>
      </c>
      <c r="E123" s="30">
        <v>610224.68999999994</v>
      </c>
      <c r="F123" s="30"/>
    </row>
    <row r="124" spans="1:6" x14ac:dyDescent="0.25">
      <c r="A124" s="30" t="s">
        <v>26</v>
      </c>
      <c r="B124" s="30" t="s">
        <v>214</v>
      </c>
      <c r="C124" s="30" t="s">
        <v>408</v>
      </c>
      <c r="D124" s="30">
        <v>6547557.6509999996</v>
      </c>
      <c r="E124" s="30">
        <v>610228.66099999996</v>
      </c>
      <c r="F124" s="30"/>
    </row>
    <row r="125" spans="1:6" x14ac:dyDescent="0.25">
      <c r="A125" s="30" t="s">
        <v>26</v>
      </c>
      <c r="B125" s="30" t="s">
        <v>214</v>
      </c>
      <c r="C125" s="30" t="s">
        <v>409</v>
      </c>
      <c r="D125" s="30">
        <v>6547557.8320000004</v>
      </c>
      <c r="E125" s="30">
        <v>610229.31499999994</v>
      </c>
      <c r="F125" s="30"/>
    </row>
    <row r="126" spans="1:6" x14ac:dyDescent="0.25">
      <c r="A126" s="30" t="s">
        <v>26</v>
      </c>
      <c r="B126" s="30" t="s">
        <v>410</v>
      </c>
      <c r="C126" s="30" t="s">
        <v>411</v>
      </c>
      <c r="D126" s="30">
        <v>6547457.392</v>
      </c>
      <c r="E126" s="30">
        <v>610239.59</v>
      </c>
      <c r="F126" s="30"/>
    </row>
    <row r="127" spans="1:6" x14ac:dyDescent="0.25">
      <c r="A127" s="30" t="s">
        <v>26</v>
      </c>
      <c r="B127" s="30" t="s">
        <v>410</v>
      </c>
      <c r="C127" s="30" t="s">
        <v>412</v>
      </c>
      <c r="D127" s="30">
        <v>6547494.557</v>
      </c>
      <c r="E127" s="30">
        <v>610218.11600000004</v>
      </c>
      <c r="F127" s="30"/>
    </row>
    <row r="128" spans="1:6" x14ac:dyDescent="0.25">
      <c r="A128" s="30" t="s">
        <v>26</v>
      </c>
      <c r="B128" s="30" t="s">
        <v>217</v>
      </c>
      <c r="C128" s="30" t="s">
        <v>413</v>
      </c>
      <c r="D128" s="30">
        <v>6547483.4199999999</v>
      </c>
      <c r="E128" s="30">
        <v>610224.74399999995</v>
      </c>
      <c r="F128" s="30"/>
    </row>
    <row r="129" spans="1:6" x14ac:dyDescent="0.25">
      <c r="A129" s="30" t="s">
        <v>26</v>
      </c>
      <c r="B129" s="30" t="s">
        <v>217</v>
      </c>
      <c r="C129" s="30" t="s">
        <v>414</v>
      </c>
      <c r="D129" s="30">
        <v>6547482.7960000001</v>
      </c>
      <c r="E129" s="30">
        <v>610224.51599999995</v>
      </c>
      <c r="F129" s="30"/>
    </row>
    <row r="130" spans="1:6" x14ac:dyDescent="0.25">
      <c r="A130" s="30" t="s">
        <v>26</v>
      </c>
      <c r="B130" s="30" t="s">
        <v>221</v>
      </c>
      <c r="C130" s="30" t="s">
        <v>415</v>
      </c>
      <c r="D130" s="30">
        <v>6547474.6909999996</v>
      </c>
      <c r="E130" s="30">
        <v>610229.603</v>
      </c>
      <c r="F130" s="30"/>
    </row>
    <row r="131" spans="1:6" x14ac:dyDescent="0.25">
      <c r="A131" s="30" t="s">
        <v>26</v>
      </c>
      <c r="B131" s="30" t="s">
        <v>221</v>
      </c>
      <c r="C131" s="30" t="s">
        <v>416</v>
      </c>
      <c r="D131" s="30">
        <v>6547474.0039999997</v>
      </c>
      <c r="E131" s="30">
        <v>610229.44499999995</v>
      </c>
      <c r="F131" s="30"/>
    </row>
    <row r="132" spans="1:6" x14ac:dyDescent="0.25">
      <c r="A132" s="30" t="s">
        <v>26</v>
      </c>
      <c r="B132" s="30" t="s">
        <v>223</v>
      </c>
      <c r="C132" s="30" t="s">
        <v>417</v>
      </c>
      <c r="D132" s="30">
        <v>6547466.0999999996</v>
      </c>
      <c r="E132" s="30">
        <v>610234.56200000003</v>
      </c>
      <c r="F132" s="30"/>
    </row>
    <row r="133" spans="1:6" x14ac:dyDescent="0.25">
      <c r="A133" s="30" t="s">
        <v>26</v>
      </c>
      <c r="B133" s="30" t="s">
        <v>223</v>
      </c>
      <c r="C133" s="30" t="s">
        <v>418</v>
      </c>
      <c r="D133" s="30">
        <v>6547465.4330000002</v>
      </c>
      <c r="E133" s="30">
        <v>610234.34699999995</v>
      </c>
      <c r="F133" s="30"/>
    </row>
    <row r="134" spans="1:6" x14ac:dyDescent="0.25">
      <c r="A134" s="30" t="s">
        <v>26</v>
      </c>
      <c r="B134" s="30" t="s">
        <v>226</v>
      </c>
      <c r="C134" s="30" t="s">
        <v>419</v>
      </c>
      <c r="D134" s="30">
        <v>6547473.7829999998</v>
      </c>
      <c r="E134" s="30">
        <v>610224.59100000001</v>
      </c>
      <c r="F134" s="30"/>
    </row>
    <row r="135" spans="1:6" x14ac:dyDescent="0.25">
      <c r="A135" s="30" t="s">
        <v>26</v>
      </c>
      <c r="B135" s="30" t="s">
        <v>226</v>
      </c>
      <c r="C135" s="30" t="s">
        <v>420</v>
      </c>
      <c r="D135" s="30">
        <v>6547473.1229999997</v>
      </c>
      <c r="E135" s="30">
        <v>610224.44999999995</v>
      </c>
      <c r="F135" s="30"/>
    </row>
    <row r="136" spans="1:6" x14ac:dyDescent="0.25">
      <c r="A136" s="30" t="s">
        <v>26</v>
      </c>
      <c r="B136" s="30" t="s">
        <v>229</v>
      </c>
      <c r="C136" s="30" t="s">
        <v>421</v>
      </c>
      <c r="D136" s="30">
        <v>6547464.9589999998</v>
      </c>
      <c r="E136" s="30">
        <v>610229.28500000003</v>
      </c>
      <c r="F136" s="30"/>
    </row>
    <row r="137" spans="1:6" x14ac:dyDescent="0.25">
      <c r="A137" s="30" t="s">
        <v>26</v>
      </c>
      <c r="B137" s="30" t="s">
        <v>229</v>
      </c>
      <c r="C137" s="30" t="s">
        <v>422</v>
      </c>
      <c r="D137" s="30">
        <v>6547464.3550000004</v>
      </c>
      <c r="E137" s="30">
        <v>610229.04500000004</v>
      </c>
      <c r="F137" s="30"/>
    </row>
    <row r="138" spans="1:6" x14ac:dyDescent="0.25">
      <c r="A138" s="30" t="s">
        <v>26</v>
      </c>
      <c r="B138" s="30" t="s">
        <v>423</v>
      </c>
      <c r="C138" s="30" t="s">
        <v>424</v>
      </c>
      <c r="D138" s="30">
        <v>6547456.1579999998</v>
      </c>
      <c r="E138" s="30">
        <v>610233.95400000003</v>
      </c>
      <c r="F138" s="30"/>
    </row>
    <row r="139" spans="1:6" x14ac:dyDescent="0.25">
      <c r="A139" s="30" t="s">
        <v>26</v>
      </c>
      <c r="B139" s="30" t="s">
        <v>423</v>
      </c>
      <c r="C139" s="30" t="s">
        <v>425</v>
      </c>
      <c r="D139" s="30">
        <v>6547488.8439999996</v>
      </c>
      <c r="E139" s="30">
        <v>610216.75399999996</v>
      </c>
      <c r="F139" s="30"/>
    </row>
    <row r="140" spans="1:6" x14ac:dyDescent="0.25">
      <c r="A140" s="30" t="s">
        <v>558</v>
      </c>
      <c r="B140" s="36" t="s">
        <v>238</v>
      </c>
      <c r="C140" s="30" t="s">
        <v>426</v>
      </c>
      <c r="D140" s="30">
        <v>6547210.5310000004</v>
      </c>
      <c r="E140" s="30">
        <v>610566.86300000001</v>
      </c>
      <c r="F140" s="30"/>
    </row>
    <row r="141" spans="1:6" x14ac:dyDescent="0.25">
      <c r="A141" s="30" t="s">
        <v>558</v>
      </c>
      <c r="B141" s="36" t="s">
        <v>238</v>
      </c>
      <c r="C141" s="30" t="s">
        <v>427</v>
      </c>
      <c r="D141" s="30">
        <v>6547210.0839999998</v>
      </c>
      <c r="E141" s="30">
        <v>610566.81799999997</v>
      </c>
      <c r="F141" s="30"/>
    </row>
    <row r="142" spans="1:6" x14ac:dyDescent="0.25">
      <c r="A142" s="30" t="s">
        <v>558</v>
      </c>
      <c r="B142" s="36" t="s">
        <v>238</v>
      </c>
      <c r="C142" s="30" t="s">
        <v>428</v>
      </c>
      <c r="D142" s="30">
        <v>6547210.0700000003</v>
      </c>
      <c r="E142" s="30">
        <v>610566.30200000003</v>
      </c>
      <c r="F142" s="30"/>
    </row>
    <row r="143" spans="1:6" x14ac:dyDescent="0.25">
      <c r="A143" s="30" t="s">
        <v>558</v>
      </c>
      <c r="B143" s="36" t="s">
        <v>238</v>
      </c>
      <c r="C143" s="30" t="s">
        <v>429</v>
      </c>
      <c r="D143" s="30">
        <v>6547210.6279999996</v>
      </c>
      <c r="E143" s="30">
        <v>610566.34299999999</v>
      </c>
      <c r="F143" s="30"/>
    </row>
    <row r="144" spans="1:6" x14ac:dyDescent="0.25">
      <c r="A144" s="30" t="s">
        <v>558</v>
      </c>
      <c r="B144" s="36" t="s">
        <v>241</v>
      </c>
      <c r="C144" s="30" t="s">
        <v>430</v>
      </c>
      <c r="D144" s="30">
        <v>6547181.7290000003</v>
      </c>
      <c r="E144" s="30">
        <v>610568.72699999996</v>
      </c>
      <c r="F144" s="30"/>
    </row>
    <row r="145" spans="1:6" x14ac:dyDescent="0.25">
      <c r="A145" s="30" t="s">
        <v>558</v>
      </c>
      <c r="B145" s="36" t="s">
        <v>241</v>
      </c>
      <c r="C145" s="30" t="s">
        <v>431</v>
      </c>
      <c r="D145" s="30">
        <v>6547181.176</v>
      </c>
      <c r="E145" s="30">
        <v>610568.85800000001</v>
      </c>
      <c r="F145" s="30"/>
    </row>
    <row r="146" spans="1:6" x14ac:dyDescent="0.25">
      <c r="A146" s="30" t="s">
        <v>558</v>
      </c>
      <c r="B146" s="36" t="s">
        <v>241</v>
      </c>
      <c r="C146" s="30" t="s">
        <v>432</v>
      </c>
      <c r="D146" s="30">
        <v>6547181.1610000003</v>
      </c>
      <c r="E146" s="30">
        <v>610568.34199999995</v>
      </c>
      <c r="F146" s="30"/>
    </row>
    <row r="147" spans="1:6" x14ac:dyDescent="0.25">
      <c r="A147" s="30" t="s">
        <v>558</v>
      </c>
      <c r="B147" s="36" t="s">
        <v>241</v>
      </c>
      <c r="C147" s="30" t="s">
        <v>433</v>
      </c>
      <c r="D147" s="30">
        <v>6547181.6030000001</v>
      </c>
      <c r="E147" s="30">
        <v>610568.21400000004</v>
      </c>
      <c r="F147" s="30"/>
    </row>
    <row r="148" spans="1:6" x14ac:dyDescent="0.25">
      <c r="A148" s="30" t="s">
        <v>558</v>
      </c>
      <c r="B148" s="36" t="s">
        <v>243</v>
      </c>
      <c r="C148" s="30" t="s">
        <v>434</v>
      </c>
      <c r="D148" s="30">
        <v>6547210.0980000002</v>
      </c>
      <c r="E148" s="30">
        <v>610563.43099999998</v>
      </c>
      <c r="F148" s="30"/>
    </row>
    <row r="149" spans="1:6" x14ac:dyDescent="0.25">
      <c r="A149" s="30" t="s">
        <v>558</v>
      </c>
      <c r="B149" s="36" t="s">
        <v>243</v>
      </c>
      <c r="C149" s="30" t="s">
        <v>435</v>
      </c>
      <c r="D149" s="30">
        <v>6547209.6529999999</v>
      </c>
      <c r="E149" s="30">
        <v>610563.44400000002</v>
      </c>
      <c r="F149" s="30"/>
    </row>
    <row r="150" spans="1:6" x14ac:dyDescent="0.25">
      <c r="A150" s="30" t="s">
        <v>558</v>
      </c>
      <c r="B150" s="36" t="s">
        <v>243</v>
      </c>
      <c r="C150" s="30" t="s">
        <v>436</v>
      </c>
      <c r="D150" s="30">
        <v>6547209.6399999997</v>
      </c>
      <c r="E150" s="30">
        <v>610562.98499999999</v>
      </c>
      <c r="F150" s="30"/>
    </row>
    <row r="151" spans="1:6" x14ac:dyDescent="0.25">
      <c r="A151" s="30" t="s">
        <v>558</v>
      </c>
      <c r="B151" s="36" t="s">
        <v>243</v>
      </c>
      <c r="C151" s="30" t="s">
        <v>437</v>
      </c>
      <c r="D151" s="30">
        <v>6547210.0829999996</v>
      </c>
      <c r="E151" s="30">
        <v>610562.91500000004</v>
      </c>
      <c r="F151" s="30"/>
    </row>
    <row r="152" spans="1:6" x14ac:dyDescent="0.25">
      <c r="A152" s="30" t="s">
        <v>558</v>
      </c>
      <c r="B152" s="36" t="s">
        <v>246</v>
      </c>
      <c r="C152" s="30" t="s">
        <v>438</v>
      </c>
      <c r="D152" s="30">
        <v>6547203.1289999997</v>
      </c>
      <c r="E152" s="30">
        <v>610569.02800000005</v>
      </c>
      <c r="F152" s="30"/>
    </row>
    <row r="153" spans="1:6" x14ac:dyDescent="0.25">
      <c r="A153" s="30" t="s">
        <v>558</v>
      </c>
      <c r="B153" s="36" t="s">
        <v>246</v>
      </c>
      <c r="C153" s="30" t="s">
        <v>439</v>
      </c>
      <c r="D153" s="30">
        <v>6547202.5729999999</v>
      </c>
      <c r="E153" s="30">
        <v>610569.04399999999</v>
      </c>
      <c r="F153" s="30"/>
    </row>
    <row r="154" spans="1:6" x14ac:dyDescent="0.25">
      <c r="A154" s="30" t="s">
        <v>558</v>
      </c>
      <c r="B154" s="36" t="s">
        <v>246</v>
      </c>
      <c r="C154" s="30" t="s">
        <v>440</v>
      </c>
      <c r="D154" s="30">
        <v>6547202.6689999998</v>
      </c>
      <c r="E154" s="30">
        <v>610568.52500000002</v>
      </c>
      <c r="F154" s="30"/>
    </row>
    <row r="155" spans="1:6" x14ac:dyDescent="0.25">
      <c r="A155" s="30" t="s">
        <v>558</v>
      </c>
      <c r="B155" s="36" t="s">
        <v>246</v>
      </c>
      <c r="C155" s="30" t="s">
        <v>441</v>
      </c>
      <c r="D155" s="30">
        <v>6547203.1140000001</v>
      </c>
      <c r="E155" s="30">
        <v>610568.51199999999</v>
      </c>
      <c r="F155" s="30"/>
    </row>
    <row r="156" spans="1:6" x14ac:dyDescent="0.25">
      <c r="A156" s="30" t="s">
        <v>558</v>
      </c>
      <c r="B156" s="36" t="s">
        <v>249</v>
      </c>
      <c r="C156" s="30" t="s">
        <v>442</v>
      </c>
      <c r="D156" s="30">
        <v>6547203.3140000002</v>
      </c>
      <c r="E156" s="30">
        <v>610567.70200000005</v>
      </c>
      <c r="F156" s="30"/>
    </row>
    <row r="157" spans="1:6" x14ac:dyDescent="0.25">
      <c r="A157" s="30" t="s">
        <v>558</v>
      </c>
      <c r="B157" s="36" t="s">
        <v>249</v>
      </c>
      <c r="C157" s="30" t="s">
        <v>443</v>
      </c>
      <c r="D157" s="30">
        <v>6547202.7539999997</v>
      </c>
      <c r="E157" s="30">
        <v>610567.60400000005</v>
      </c>
      <c r="F157" s="30"/>
    </row>
    <row r="158" spans="1:6" x14ac:dyDescent="0.25">
      <c r="A158" s="30" t="s">
        <v>558</v>
      </c>
      <c r="B158" s="36" t="s">
        <v>249</v>
      </c>
      <c r="C158" s="30" t="s">
        <v>444</v>
      </c>
      <c r="D158" s="30">
        <v>6547202.7369999997</v>
      </c>
      <c r="E158" s="30">
        <v>610567.03</v>
      </c>
      <c r="F158" s="30"/>
    </row>
    <row r="159" spans="1:6" x14ac:dyDescent="0.25">
      <c r="A159" s="30" t="s">
        <v>558</v>
      </c>
      <c r="B159" s="36" t="s">
        <v>249</v>
      </c>
      <c r="C159" s="30" t="s">
        <v>445</v>
      </c>
      <c r="D159" s="30">
        <v>6547203.2989999996</v>
      </c>
      <c r="E159" s="30">
        <v>610567.18599999999</v>
      </c>
      <c r="F159" s="30"/>
    </row>
    <row r="160" spans="1:6" x14ac:dyDescent="0.25">
      <c r="A160" s="30" t="s">
        <v>558</v>
      </c>
      <c r="B160" s="36" t="s">
        <v>252</v>
      </c>
      <c r="C160" s="30" t="s">
        <v>446</v>
      </c>
      <c r="D160" s="30">
        <v>6547202.5149999997</v>
      </c>
      <c r="E160" s="30">
        <v>610567.03700000001</v>
      </c>
      <c r="F160" s="30"/>
    </row>
    <row r="161" spans="1:6" x14ac:dyDescent="0.25">
      <c r="A161" s="30" t="s">
        <v>558</v>
      </c>
      <c r="B161" s="36" t="s">
        <v>252</v>
      </c>
      <c r="C161" s="30" t="s">
        <v>447</v>
      </c>
      <c r="D161" s="30">
        <v>6547202.0760000004</v>
      </c>
      <c r="E161" s="30">
        <v>610567.27899999998</v>
      </c>
      <c r="F161" s="30"/>
    </row>
    <row r="162" spans="1:6" x14ac:dyDescent="0.25">
      <c r="A162" s="30" t="s">
        <v>558</v>
      </c>
      <c r="B162" s="36" t="s">
        <v>252</v>
      </c>
      <c r="C162" s="30" t="s">
        <v>448</v>
      </c>
      <c r="D162" s="30">
        <v>6547201.7290000003</v>
      </c>
      <c r="E162" s="30">
        <v>610566.82999999996</v>
      </c>
      <c r="F162" s="30"/>
    </row>
    <row r="163" spans="1:6" x14ac:dyDescent="0.25">
      <c r="A163" s="30" t="s">
        <v>558</v>
      </c>
      <c r="B163" s="36" t="s">
        <v>252</v>
      </c>
      <c r="C163" s="30" t="s">
        <v>449</v>
      </c>
      <c r="D163" s="30">
        <v>6547202.2790000001</v>
      </c>
      <c r="E163" s="30">
        <v>610566.58400000003</v>
      </c>
      <c r="F163" s="30"/>
    </row>
    <row r="164" spans="1:6" x14ac:dyDescent="0.25">
      <c r="A164" s="30" t="s">
        <v>558</v>
      </c>
      <c r="B164" s="36" t="s">
        <v>254</v>
      </c>
      <c r="C164" s="30" t="s">
        <v>450</v>
      </c>
      <c r="D164" s="30">
        <v>6547202.1059999997</v>
      </c>
      <c r="E164" s="30">
        <v>610568.31099999999</v>
      </c>
      <c r="F164" s="30"/>
    </row>
    <row r="165" spans="1:6" x14ac:dyDescent="0.25">
      <c r="A165" s="30" t="s">
        <v>558</v>
      </c>
      <c r="B165" s="36" t="s">
        <v>254</v>
      </c>
      <c r="C165" s="30" t="s">
        <v>451</v>
      </c>
      <c r="D165" s="30">
        <v>6547201.7630000003</v>
      </c>
      <c r="E165" s="30">
        <v>610568.03399999999</v>
      </c>
      <c r="F165" s="30"/>
    </row>
    <row r="166" spans="1:6" x14ac:dyDescent="0.25">
      <c r="A166" s="30" t="s">
        <v>558</v>
      </c>
      <c r="B166" s="36" t="s">
        <v>254</v>
      </c>
      <c r="C166" s="30" t="s">
        <v>452</v>
      </c>
      <c r="D166" s="30">
        <v>6547202.0860000001</v>
      </c>
      <c r="E166" s="30">
        <v>610567.62300000002</v>
      </c>
      <c r="F166" s="30"/>
    </row>
    <row r="167" spans="1:6" x14ac:dyDescent="0.25">
      <c r="A167" s="30" t="s">
        <v>558</v>
      </c>
      <c r="B167" s="36" t="s">
        <v>254</v>
      </c>
      <c r="C167" s="30" t="s">
        <v>453</v>
      </c>
      <c r="D167" s="30">
        <v>6547202.4280000003</v>
      </c>
      <c r="E167" s="30">
        <v>610567.9</v>
      </c>
      <c r="F167" s="30"/>
    </row>
    <row r="168" spans="1:6" x14ac:dyDescent="0.25">
      <c r="A168" s="30" t="s">
        <v>558</v>
      </c>
      <c r="B168" s="36" t="s">
        <v>256</v>
      </c>
      <c r="C168" s="30" t="s">
        <v>454</v>
      </c>
      <c r="D168" s="30">
        <v>6547201.3159999996</v>
      </c>
      <c r="E168" s="30">
        <v>610571.83600000001</v>
      </c>
      <c r="F168" s="30"/>
    </row>
    <row r="169" spans="1:6" x14ac:dyDescent="0.25">
      <c r="A169" s="30" t="s">
        <v>558</v>
      </c>
      <c r="B169" s="36" t="s">
        <v>256</v>
      </c>
      <c r="C169" s="30" t="s">
        <v>455</v>
      </c>
      <c r="D169" s="30">
        <v>6547200.7609999999</v>
      </c>
      <c r="E169" s="30">
        <v>610571.90899999999</v>
      </c>
      <c r="F169" s="30"/>
    </row>
    <row r="170" spans="1:6" x14ac:dyDescent="0.25">
      <c r="A170" s="30" t="s">
        <v>558</v>
      </c>
      <c r="B170" s="36" t="s">
        <v>256</v>
      </c>
      <c r="C170" s="30" t="s">
        <v>456</v>
      </c>
      <c r="D170" s="30">
        <v>6547200.7450000001</v>
      </c>
      <c r="E170" s="30">
        <v>610571.33600000001</v>
      </c>
      <c r="F170" s="30"/>
    </row>
    <row r="171" spans="1:6" x14ac:dyDescent="0.25">
      <c r="A171" s="30" t="s">
        <v>558</v>
      </c>
      <c r="B171" s="36" t="s">
        <v>256</v>
      </c>
      <c r="C171" s="30" t="s">
        <v>457</v>
      </c>
      <c r="D171" s="30">
        <v>6547201.3030000003</v>
      </c>
      <c r="E171" s="30">
        <v>610571.37699999998</v>
      </c>
      <c r="F171" s="30"/>
    </row>
    <row r="172" spans="1:6" x14ac:dyDescent="0.25">
      <c r="A172" s="30" t="s">
        <v>558</v>
      </c>
      <c r="B172" s="36" t="s">
        <v>261</v>
      </c>
      <c r="C172" s="30" t="s">
        <v>458</v>
      </c>
      <c r="D172" s="30">
        <v>6547199.0449999999</v>
      </c>
      <c r="E172" s="30">
        <v>610574.19700000004</v>
      </c>
      <c r="F172" s="30"/>
    </row>
    <row r="173" spans="1:6" x14ac:dyDescent="0.25">
      <c r="A173" s="30" t="s">
        <v>558</v>
      </c>
      <c r="B173" s="36" t="s">
        <v>261</v>
      </c>
      <c r="C173" s="30" t="s">
        <v>459</v>
      </c>
      <c r="D173" s="30">
        <v>6547198.4859999996</v>
      </c>
      <c r="E173" s="30">
        <v>610574.15599999996</v>
      </c>
      <c r="F173" s="30"/>
    </row>
    <row r="174" spans="1:6" x14ac:dyDescent="0.25">
      <c r="A174" s="30" t="s">
        <v>558</v>
      </c>
      <c r="B174" s="36" t="s">
        <v>261</v>
      </c>
      <c r="C174" s="30" t="s">
        <v>460</v>
      </c>
      <c r="D174" s="30">
        <v>6547198.5829999996</v>
      </c>
      <c r="E174" s="30">
        <v>610573.63699999999</v>
      </c>
      <c r="F174" s="30"/>
    </row>
    <row r="175" spans="1:6" x14ac:dyDescent="0.25">
      <c r="A175" s="30" t="s">
        <v>558</v>
      </c>
      <c r="B175" s="36" t="s">
        <v>261</v>
      </c>
      <c r="C175" s="30" t="s">
        <v>461</v>
      </c>
      <c r="D175" s="30">
        <v>6547199.0300000003</v>
      </c>
      <c r="E175" s="30">
        <v>610573.68099999998</v>
      </c>
      <c r="F175" s="30"/>
    </row>
    <row r="176" spans="1:6" x14ac:dyDescent="0.25">
      <c r="A176" s="30" t="s">
        <v>558</v>
      </c>
      <c r="B176" s="36" t="s">
        <v>264</v>
      </c>
      <c r="C176" s="30" t="s">
        <v>462</v>
      </c>
      <c r="D176" s="30">
        <v>6547202.5889999997</v>
      </c>
      <c r="E176" s="30">
        <v>610573.46400000004</v>
      </c>
      <c r="F176" s="30"/>
    </row>
    <row r="177" spans="1:6" x14ac:dyDescent="0.25">
      <c r="A177" s="30" t="s">
        <v>558</v>
      </c>
      <c r="B177" s="36" t="s">
        <v>264</v>
      </c>
      <c r="C177" s="30" t="s">
        <v>463</v>
      </c>
      <c r="D177" s="30">
        <v>6547202.0300000003</v>
      </c>
      <c r="E177" s="30">
        <v>610573.42200000002</v>
      </c>
      <c r="F177" s="30"/>
    </row>
    <row r="178" spans="1:6" x14ac:dyDescent="0.25">
      <c r="A178" s="30" t="s">
        <v>558</v>
      </c>
      <c r="B178" s="36" t="s">
        <v>264</v>
      </c>
      <c r="C178" s="30" t="s">
        <v>464</v>
      </c>
      <c r="D178" s="30">
        <v>6547202.1270000003</v>
      </c>
      <c r="E178" s="30">
        <v>610572.90300000005</v>
      </c>
      <c r="F178" s="30"/>
    </row>
    <row r="179" spans="1:6" x14ac:dyDescent="0.25">
      <c r="A179" s="30" t="s">
        <v>558</v>
      </c>
      <c r="B179" s="36" t="s">
        <v>264</v>
      </c>
      <c r="C179" s="30" t="s">
        <v>465</v>
      </c>
      <c r="D179" s="30">
        <v>6547202.5719999997</v>
      </c>
      <c r="E179" s="30">
        <v>610572.89</v>
      </c>
      <c r="F179" s="30"/>
    </row>
    <row r="180" spans="1:6" x14ac:dyDescent="0.25">
      <c r="A180" s="30" t="s">
        <v>558</v>
      </c>
      <c r="B180" s="36" t="s">
        <v>466</v>
      </c>
      <c r="C180" s="30" t="s">
        <v>467</v>
      </c>
      <c r="D180" s="30">
        <v>6547196.2750000004</v>
      </c>
      <c r="E180" s="30">
        <v>610576.19900000002</v>
      </c>
      <c r="F180" s="30"/>
    </row>
    <row r="181" spans="1:6" x14ac:dyDescent="0.25">
      <c r="A181" s="30" t="s">
        <v>558</v>
      </c>
      <c r="B181" s="36" t="s">
        <v>466</v>
      </c>
      <c r="C181" s="30" t="s">
        <v>468</v>
      </c>
      <c r="D181" s="30">
        <v>6547166.7280000001</v>
      </c>
      <c r="E181" s="30">
        <v>610580.90399999998</v>
      </c>
      <c r="F181" s="30"/>
    </row>
    <row r="182" spans="1:6" x14ac:dyDescent="0.25">
      <c r="A182" s="30" t="s">
        <v>558</v>
      </c>
      <c r="B182" s="36" t="s">
        <v>265</v>
      </c>
      <c r="C182" s="30" t="s">
        <v>469</v>
      </c>
      <c r="D182" s="30">
        <v>6547191.3770000003</v>
      </c>
      <c r="E182" s="30">
        <v>610576.97600000002</v>
      </c>
      <c r="F182" s="30"/>
    </row>
    <row r="183" spans="1:6" x14ac:dyDescent="0.25">
      <c r="A183" s="30" t="s">
        <v>558</v>
      </c>
      <c r="B183" s="36" t="s">
        <v>265</v>
      </c>
      <c r="C183" s="30" t="s">
        <v>470</v>
      </c>
      <c r="D183" s="30">
        <v>6547190.8310000002</v>
      </c>
      <c r="E183" s="30">
        <v>610576.55200000003</v>
      </c>
      <c r="F183" s="30"/>
    </row>
    <row r="184" spans="1:6" x14ac:dyDescent="0.25">
      <c r="A184" s="30" t="s">
        <v>558</v>
      </c>
      <c r="B184" s="36" t="s">
        <v>266</v>
      </c>
      <c r="C184" s="30" t="s">
        <v>471</v>
      </c>
      <c r="D184" s="30">
        <v>6547181.4900000002</v>
      </c>
      <c r="E184" s="30">
        <v>610578.48699999996</v>
      </c>
      <c r="F184" s="30"/>
    </row>
    <row r="185" spans="1:6" x14ac:dyDescent="0.25">
      <c r="A185" s="30" t="s">
        <v>558</v>
      </c>
      <c r="B185" s="36" t="s">
        <v>266</v>
      </c>
      <c r="C185" s="30" t="s">
        <v>472</v>
      </c>
      <c r="D185" s="30">
        <v>6547180.9630000005</v>
      </c>
      <c r="E185" s="30">
        <v>610578.07700000005</v>
      </c>
      <c r="F185" s="30"/>
    </row>
    <row r="186" spans="1:6" x14ac:dyDescent="0.25">
      <c r="A186" s="30" t="s">
        <v>558</v>
      </c>
      <c r="B186" s="36" t="s">
        <v>267</v>
      </c>
      <c r="C186" s="30" t="s">
        <v>473</v>
      </c>
      <c r="D186" s="30">
        <v>6547171.108</v>
      </c>
      <c r="E186" s="30">
        <v>610579.65300000005</v>
      </c>
      <c r="F186" s="30"/>
    </row>
    <row r="187" spans="1:6" x14ac:dyDescent="0.25">
      <c r="A187" s="30" t="s">
        <v>558</v>
      </c>
      <c r="B187" s="36" t="s">
        <v>267</v>
      </c>
      <c r="C187" s="30" t="s">
        <v>474</v>
      </c>
      <c r="D187" s="30">
        <v>6547171.6229999997</v>
      </c>
      <c r="E187" s="30">
        <v>610580.13300000003</v>
      </c>
      <c r="F187" s="30"/>
    </row>
    <row r="188" spans="1:6" x14ac:dyDescent="0.25">
      <c r="A188" s="30" t="s">
        <v>558</v>
      </c>
      <c r="B188" s="36" t="s">
        <v>475</v>
      </c>
      <c r="C188" s="30" t="s">
        <v>476</v>
      </c>
      <c r="D188" s="30">
        <v>6547201.8269999996</v>
      </c>
      <c r="E188" s="30">
        <v>610573.43000000005</v>
      </c>
      <c r="F188" s="30"/>
    </row>
    <row r="189" spans="1:6" x14ac:dyDescent="0.25">
      <c r="A189" s="30" t="s">
        <v>558</v>
      </c>
      <c r="B189" s="36" t="s">
        <v>475</v>
      </c>
      <c r="C189" s="30" t="s">
        <v>477</v>
      </c>
      <c r="D189" s="30">
        <v>6547214.5470000003</v>
      </c>
      <c r="E189" s="30">
        <v>610547.41500000004</v>
      </c>
      <c r="F189" s="30"/>
    </row>
    <row r="190" spans="1:6" x14ac:dyDescent="0.25">
      <c r="A190" s="30" t="s">
        <v>558</v>
      </c>
      <c r="B190" s="36" t="s">
        <v>268</v>
      </c>
      <c r="C190" s="30" t="s">
        <v>478</v>
      </c>
      <c r="D190" s="30">
        <v>6547206.7510000002</v>
      </c>
      <c r="E190" s="30">
        <v>610564.19900000002</v>
      </c>
      <c r="F190" s="30"/>
    </row>
    <row r="191" spans="1:6" x14ac:dyDescent="0.25">
      <c r="A191" s="30" t="s">
        <v>558</v>
      </c>
      <c r="B191" s="36" t="s">
        <v>268</v>
      </c>
      <c r="C191" s="30" t="s">
        <v>479</v>
      </c>
      <c r="D191" s="30">
        <v>6547206.1380000003</v>
      </c>
      <c r="E191" s="30">
        <v>610564.4</v>
      </c>
      <c r="F191" s="30"/>
    </row>
    <row r="192" spans="1:6" x14ac:dyDescent="0.25">
      <c r="A192" s="30" t="s">
        <v>558</v>
      </c>
      <c r="B192" s="36" t="s">
        <v>269</v>
      </c>
      <c r="C192" s="30" t="s">
        <v>480</v>
      </c>
      <c r="D192" s="30">
        <v>6547210.4919999996</v>
      </c>
      <c r="E192" s="30">
        <v>610555.40599999996</v>
      </c>
      <c r="F192" s="30"/>
    </row>
    <row r="193" spans="1:6" x14ac:dyDescent="0.25">
      <c r="A193" s="30" t="s">
        <v>558</v>
      </c>
      <c r="B193" s="36" t="s">
        <v>269</v>
      </c>
      <c r="C193" s="30" t="s">
        <v>481</v>
      </c>
      <c r="D193" s="30">
        <v>6547211.1459999997</v>
      </c>
      <c r="E193" s="30">
        <v>610555.19299999997</v>
      </c>
      <c r="F193" s="30"/>
    </row>
    <row r="194" spans="1:6" x14ac:dyDescent="0.25">
      <c r="A194" s="30" t="s">
        <v>10</v>
      </c>
      <c r="B194" s="36" t="s">
        <v>94</v>
      </c>
      <c r="C194" s="30" t="s">
        <v>482</v>
      </c>
      <c r="D194" s="30">
        <v>6548540.7000000002</v>
      </c>
      <c r="E194" s="30">
        <v>613442.47600000002</v>
      </c>
      <c r="F194" s="30"/>
    </row>
    <row r="195" spans="1:6" x14ac:dyDescent="0.25">
      <c r="A195" s="30" t="s">
        <v>10</v>
      </c>
      <c r="B195" s="36" t="s">
        <v>94</v>
      </c>
      <c r="C195" s="30" t="s">
        <v>483</v>
      </c>
      <c r="D195" s="30">
        <v>6548540.1869999999</v>
      </c>
      <c r="E195" s="30">
        <v>613441.94099999999</v>
      </c>
      <c r="F195" s="30"/>
    </row>
    <row r="196" spans="1:6" x14ac:dyDescent="0.25">
      <c r="A196" s="30" t="s">
        <v>10</v>
      </c>
      <c r="B196" s="36" t="s">
        <v>121</v>
      </c>
      <c r="C196" s="30" t="s">
        <v>484</v>
      </c>
      <c r="D196" s="30">
        <v>6548561.3080000002</v>
      </c>
      <c r="E196" s="30">
        <v>613437.16799999995</v>
      </c>
      <c r="F196" s="30"/>
    </row>
    <row r="197" spans="1:6" x14ac:dyDescent="0.25">
      <c r="A197" s="30" t="s">
        <v>10</v>
      </c>
      <c r="B197" s="36" t="s">
        <v>121</v>
      </c>
      <c r="C197" s="30" t="s">
        <v>485</v>
      </c>
      <c r="D197" s="30">
        <v>6548562.051</v>
      </c>
      <c r="E197" s="30">
        <v>613437.28099999996</v>
      </c>
      <c r="F197" s="30"/>
    </row>
    <row r="198" spans="1:6" x14ac:dyDescent="0.25">
      <c r="A198" s="30" t="s">
        <v>10</v>
      </c>
      <c r="B198" s="36" t="s">
        <v>98</v>
      </c>
      <c r="C198" s="30" t="s">
        <v>486</v>
      </c>
      <c r="D198" s="30">
        <v>6548540.1749999998</v>
      </c>
      <c r="E198" s="30">
        <v>613442.45600000001</v>
      </c>
      <c r="F198" s="30"/>
    </row>
    <row r="199" spans="1:6" x14ac:dyDescent="0.25">
      <c r="A199" s="30" t="s">
        <v>10</v>
      </c>
      <c r="B199" s="36" t="s">
        <v>98</v>
      </c>
      <c r="C199" s="30" t="s">
        <v>487</v>
      </c>
      <c r="D199" s="30">
        <v>6548539.7010000004</v>
      </c>
      <c r="E199" s="30">
        <v>613441.89599999995</v>
      </c>
      <c r="F199" s="30"/>
    </row>
    <row r="200" spans="1:6" x14ac:dyDescent="0.25">
      <c r="A200" s="30" t="s">
        <v>10</v>
      </c>
      <c r="B200" s="36" t="s">
        <v>101</v>
      </c>
      <c r="C200" s="30" t="s">
        <v>488</v>
      </c>
      <c r="D200" s="30">
        <v>6548552.1459999997</v>
      </c>
      <c r="E200" s="30">
        <v>613443.26199999999</v>
      </c>
      <c r="F200" s="30"/>
    </row>
    <row r="201" spans="1:6" x14ac:dyDescent="0.25">
      <c r="A201" s="30" t="s">
        <v>10</v>
      </c>
      <c r="B201" s="36" t="s">
        <v>101</v>
      </c>
      <c r="C201" s="30" t="s">
        <v>489</v>
      </c>
      <c r="D201" s="30">
        <v>6548552.0800000001</v>
      </c>
      <c r="E201" s="30">
        <v>613442.54200000002</v>
      </c>
      <c r="F201" s="30"/>
    </row>
    <row r="202" spans="1:6" x14ac:dyDescent="0.25">
      <c r="A202" s="30" t="s">
        <v>10</v>
      </c>
      <c r="B202" s="36" t="s">
        <v>105</v>
      </c>
      <c r="C202" s="30" t="s">
        <v>490</v>
      </c>
      <c r="D202" s="30">
        <v>6548546.4199999999</v>
      </c>
      <c r="E202" s="30">
        <v>613437.72499999998</v>
      </c>
      <c r="F202" s="30"/>
    </row>
    <row r="203" spans="1:6" x14ac:dyDescent="0.25">
      <c r="A203" s="30" t="s">
        <v>10</v>
      </c>
      <c r="B203" s="36" t="s">
        <v>105</v>
      </c>
      <c r="C203" s="30" t="s">
        <v>491</v>
      </c>
      <c r="D203" s="30">
        <v>6548546.4689999996</v>
      </c>
      <c r="E203" s="30">
        <v>613436.98100000003</v>
      </c>
      <c r="F203" s="30"/>
    </row>
    <row r="204" spans="1:6" x14ac:dyDescent="0.25">
      <c r="A204" s="30" t="s">
        <v>10</v>
      </c>
      <c r="B204" s="36" t="s">
        <v>108</v>
      </c>
      <c r="C204" s="30" t="s">
        <v>492</v>
      </c>
      <c r="D204" s="30">
        <v>6548552.6610000003</v>
      </c>
      <c r="E204" s="30">
        <v>613440.82799999998</v>
      </c>
      <c r="F204" s="30"/>
    </row>
    <row r="205" spans="1:6" x14ac:dyDescent="0.25">
      <c r="A205" s="30" t="s">
        <v>10</v>
      </c>
      <c r="B205" s="36" t="s">
        <v>108</v>
      </c>
      <c r="C205" s="30" t="s">
        <v>493</v>
      </c>
      <c r="D205" s="30">
        <v>6548553.3090000004</v>
      </c>
      <c r="E205" s="30">
        <v>613440.45600000001</v>
      </c>
      <c r="F205" s="30"/>
    </row>
    <row r="206" spans="1:6" x14ac:dyDescent="0.25">
      <c r="A206" s="30" t="s">
        <v>10</v>
      </c>
      <c r="B206" s="36" t="s">
        <v>112</v>
      </c>
      <c r="C206" s="30" t="s">
        <v>494</v>
      </c>
      <c r="D206" s="30">
        <v>6548553.1610000003</v>
      </c>
      <c r="E206" s="30">
        <v>613438.49899999995</v>
      </c>
      <c r="F206" s="30"/>
    </row>
    <row r="207" spans="1:6" x14ac:dyDescent="0.25">
      <c r="A207" s="30" t="s">
        <v>10</v>
      </c>
      <c r="B207" s="36" t="s">
        <v>112</v>
      </c>
      <c r="C207" s="30" t="s">
        <v>495</v>
      </c>
      <c r="D207" s="30">
        <v>6548553.8030000003</v>
      </c>
      <c r="E207" s="30">
        <v>613438.10900000005</v>
      </c>
      <c r="F207" s="30"/>
    </row>
    <row r="208" spans="1:6" x14ac:dyDescent="0.25">
      <c r="A208" s="30" t="s">
        <v>10</v>
      </c>
      <c r="B208" s="36" t="s">
        <v>114</v>
      </c>
      <c r="C208" s="30" t="s">
        <v>496</v>
      </c>
      <c r="D208" s="30">
        <v>6548554.0880000005</v>
      </c>
      <c r="E208" s="30">
        <v>613434.11399999994</v>
      </c>
      <c r="F208" s="30"/>
    </row>
    <row r="209" spans="1:6" x14ac:dyDescent="0.25">
      <c r="A209" s="30" t="s">
        <v>10</v>
      </c>
      <c r="B209" s="36" t="s">
        <v>114</v>
      </c>
      <c r="C209" s="30" t="s">
        <v>497</v>
      </c>
      <c r="D209" s="30">
        <v>6548554.7060000002</v>
      </c>
      <c r="E209" s="30">
        <v>613433.69900000002</v>
      </c>
      <c r="F209" s="30"/>
    </row>
    <row r="210" spans="1:6" x14ac:dyDescent="0.25">
      <c r="A210" s="30" t="s">
        <v>10</v>
      </c>
      <c r="B210" s="36" t="s">
        <v>116</v>
      </c>
      <c r="C210" s="30" t="s">
        <v>498</v>
      </c>
      <c r="D210" s="30">
        <v>6548553.8490000004</v>
      </c>
      <c r="E210" s="30">
        <v>613442.16799999995</v>
      </c>
      <c r="F210" s="30"/>
    </row>
    <row r="211" spans="1:6" x14ac:dyDescent="0.25">
      <c r="A211" s="30" t="s">
        <v>10</v>
      </c>
      <c r="B211" s="36" t="s">
        <v>116</v>
      </c>
      <c r="C211" s="30" t="s">
        <v>499</v>
      </c>
      <c r="D211" s="30">
        <v>6548554.5710000005</v>
      </c>
      <c r="E211" s="30">
        <v>613442.29700000002</v>
      </c>
      <c r="F211" s="30"/>
    </row>
    <row r="212" spans="1:6" x14ac:dyDescent="0.25">
      <c r="A212" s="30" t="s">
        <v>10</v>
      </c>
      <c r="B212" s="36" t="s">
        <v>119</v>
      </c>
      <c r="C212" s="30" t="s">
        <v>500</v>
      </c>
      <c r="D212" s="30">
        <v>6548554.2659999998</v>
      </c>
      <c r="E212" s="30">
        <v>613441.86600000004</v>
      </c>
      <c r="F212" s="30"/>
    </row>
    <row r="213" spans="1:6" x14ac:dyDescent="0.25">
      <c r="A213" s="30" t="s">
        <v>10</v>
      </c>
      <c r="B213" s="36" t="s">
        <v>119</v>
      </c>
      <c r="C213" s="30" t="s">
        <v>501</v>
      </c>
      <c r="D213" s="30">
        <v>6548554.9809999997</v>
      </c>
      <c r="E213" s="30">
        <v>613442.00800000003</v>
      </c>
      <c r="F213" s="3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08e12-855e-4fdf-89f5-ea61ff4d7241">
      <Terms xmlns="http://schemas.microsoft.com/office/infopath/2007/PartnerControls"/>
    </lcf76f155ced4ddcb4097134ff3c332f>
    <TaxCatchAll xmlns="faa10439-4bd7-45c3-9915-51548662568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BA331447812D4DB08E5D2B41044FFD" ma:contentTypeVersion="15" ma:contentTypeDescription="Create a new document." ma:contentTypeScope="" ma:versionID="dfb279f00c56cf9f12d4eb5eedf50553">
  <xsd:schema xmlns:xsd="http://www.w3.org/2001/XMLSchema" xmlns:xs="http://www.w3.org/2001/XMLSchema" xmlns:p="http://schemas.microsoft.com/office/2006/metadata/properties" xmlns:ns2="a9108e12-855e-4fdf-89f5-ea61ff4d7241" xmlns:ns3="faa10439-4bd7-45c3-9915-51548662568f" targetNamespace="http://schemas.microsoft.com/office/2006/metadata/properties" ma:root="true" ma:fieldsID="e9a72727bd7688313cefa89fe9b86d6e" ns2:_="" ns3:_="">
    <xsd:import namespace="a9108e12-855e-4fdf-89f5-ea61ff4d7241"/>
    <xsd:import namespace="faa10439-4bd7-45c3-9915-5154866256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08e12-855e-4fdf-89f5-ea61ff4d7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b671a8-374e-43c3-b91a-c5799fa48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10439-4bd7-45c3-9915-5154866256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c4a429-fd88-493c-a232-e1100776f5bb}" ma:internalName="TaxCatchAll" ma:showField="CatchAllData" ma:web="faa10439-4bd7-45c3-9915-5154866256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B3DC2A-E515-4601-9D8A-6ABB7151E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5E9DEF-B29E-45F4-B8CF-8DB1972CA3D6}">
  <ds:schemaRefs>
    <ds:schemaRef ds:uri="http://schemas.microsoft.com/office/2006/metadata/properties"/>
    <ds:schemaRef ds:uri="http://www.w3.org/2000/xmlns/"/>
    <ds:schemaRef ds:uri="2807d88d-f4fd-4c7d-90b5-d1018a31bfad"/>
    <ds:schemaRef ds:uri="http://schemas.microsoft.com/office/infopath/2007/PartnerControls"/>
    <ds:schemaRef ds:uri="fe723ace-196c-495c-b226-333f56cbada5"/>
    <ds:schemaRef ds:uri="http://www.w3.org/2001/XMLSchema-instance"/>
    <ds:schemaRef ds:uri="a9108e12-855e-4fdf-89f5-ea61ff4d7241"/>
    <ds:schemaRef ds:uri="faa10439-4bd7-45c3-9915-51548662568f"/>
  </ds:schemaRefs>
</ds:datastoreItem>
</file>

<file path=customXml/itemProps3.xml><?xml version="1.0" encoding="utf-8"?>
<ds:datastoreItem xmlns:ds="http://schemas.openxmlformats.org/officeDocument/2006/customXml" ds:itemID="{D2CA1DCE-878E-43AB-8D3D-C3923FA60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108e12-855e-4fdf-89f5-ea61ff4d7241"/>
    <ds:schemaRef ds:uri="faa10439-4bd7-45c3-9915-5154866256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cef3730-2131-4901-8310-55b3abf02c73}" enabled="0" method="" siteId="{6cef3730-2131-4901-8310-55b3abf02c7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Lokalitetsdata</vt:lpstr>
      <vt:lpstr>transektdata</vt:lpstr>
      <vt:lpstr>Honningblom_data</vt:lpstr>
      <vt:lpstr>pivot</vt:lpstr>
      <vt:lpstr>Koordinater NY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Marianne Evju</dc:creator>
  <cp:keywords/>
  <dc:description/>
  <cp:lastModifiedBy>Marianne Evju</cp:lastModifiedBy>
  <cp:revision/>
  <dcterms:created xsi:type="dcterms:W3CDTF">2020-11-02T07:42:40Z</dcterms:created>
  <dcterms:modified xsi:type="dcterms:W3CDTF">2024-09-13T12:18:59Z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0x010100C5BA331447812D4DB08E5D2B41044FFD</vt:lpwstr>
  </property>
  <property fmtid="{D5CDD505-2E9C-101B-9397-08002B2CF9AE}" pid="3" name="MediaServiceImageTags">
    <vt:lpwstr/>
  </property>
</Properties>
</file>