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809ad8919981a3/Рабочий стол/Financial Modelling/"/>
    </mc:Choice>
  </mc:AlternateContent>
  <xr:revisionPtr revIDLastSave="364" documentId="8_{A9BDAB3F-8C04-4BFB-9305-8E43524D79DE}" xr6:coauthVersionLast="47" xr6:coauthVersionMax="47" xr10:uidLastSave="{24A00564-F737-454A-A571-F04A3EF42DA1}"/>
  <bookViews>
    <workbookView xWindow="-120" yWindow="-120" windowWidth="20730" windowHeight="11760" activeTab="1" xr2:uid="{41F96B16-ABFA-4C81-BD40-55DB5531909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J17" i="2"/>
  <c r="I17" i="2"/>
  <c r="H17" i="2"/>
  <c r="G17" i="2"/>
  <c r="F17" i="2"/>
  <c r="E17" i="2"/>
  <c r="D17" i="2"/>
  <c r="C17" i="2"/>
  <c r="N17" i="2"/>
  <c r="O17" i="2"/>
  <c r="O21" i="2"/>
  <c r="O20" i="2"/>
  <c r="N20" i="2"/>
  <c r="O19" i="2"/>
  <c r="N19" i="2"/>
  <c r="O18" i="2"/>
  <c r="N18" i="2"/>
  <c r="O15" i="2"/>
  <c r="N15" i="2"/>
  <c r="O14" i="2"/>
  <c r="N14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13" i="2"/>
  <c r="N13" i="2"/>
  <c r="O3" i="2"/>
  <c r="N3" i="2"/>
  <c r="G9" i="1"/>
  <c r="G21" i="2"/>
  <c r="H21" i="2"/>
  <c r="I21" i="2"/>
  <c r="C13" i="2"/>
  <c r="D13" i="2"/>
  <c r="C11" i="2"/>
  <c r="C8" i="2"/>
  <c r="C5" i="2"/>
  <c r="C4" i="2"/>
  <c r="C3" i="2"/>
  <c r="D11" i="2"/>
  <c r="D4" i="2"/>
  <c r="D3" i="2"/>
  <c r="D8" i="2"/>
  <c r="E4" i="2"/>
  <c r="E5" i="2" s="1"/>
  <c r="E3" i="2"/>
  <c r="E8" i="2"/>
  <c r="G37" i="2"/>
  <c r="G40" i="2" s="1"/>
  <c r="G42" i="2" s="1"/>
  <c r="K37" i="2"/>
  <c r="K40" i="2" s="1"/>
  <c r="K42" i="2" s="1"/>
  <c r="F4" i="2"/>
  <c r="F3" i="2"/>
  <c r="J4" i="2"/>
  <c r="J3" i="2"/>
  <c r="H4" i="2"/>
  <c r="H3" i="2"/>
  <c r="I4" i="2"/>
  <c r="I3" i="2"/>
  <c r="G25" i="2"/>
  <c r="G32" i="2" s="1"/>
  <c r="J8" i="2"/>
  <c r="I8" i="2"/>
  <c r="H8" i="2"/>
  <c r="F8" i="2"/>
  <c r="K25" i="2"/>
  <c r="K32" i="2" s="1"/>
  <c r="G3" i="2"/>
  <c r="G4" i="2"/>
  <c r="G8" i="2"/>
  <c r="K8" i="2"/>
  <c r="K4" i="2"/>
  <c r="K3" i="2"/>
  <c r="G10" i="1"/>
  <c r="G12" i="1" s="1"/>
  <c r="G7" i="1"/>
  <c r="G6" i="1"/>
  <c r="G5" i="1"/>
  <c r="C9" i="2" l="1"/>
  <c r="C18" i="2" s="1"/>
  <c r="D5" i="2"/>
  <c r="D9" i="2"/>
  <c r="E9" i="2"/>
  <c r="J21" i="2"/>
  <c r="J5" i="2"/>
  <c r="J9" i="2" s="1"/>
  <c r="J11" i="2" s="1"/>
  <c r="I5" i="2"/>
  <c r="I9" i="2" s="1"/>
  <c r="I11" i="2" s="1"/>
  <c r="F5" i="2"/>
  <c r="H5" i="2"/>
  <c r="K21" i="2"/>
  <c r="G5" i="2"/>
  <c r="K5" i="2"/>
  <c r="G13" i="1"/>
  <c r="G8" i="1"/>
  <c r="C20" i="2" l="1"/>
  <c r="D20" i="2"/>
  <c r="D18" i="2"/>
  <c r="E11" i="2"/>
  <c r="E18" i="2"/>
  <c r="F9" i="2"/>
  <c r="F11" i="2" s="1"/>
  <c r="F13" i="2" s="1"/>
  <c r="H9" i="2"/>
  <c r="H11" i="2" s="1"/>
  <c r="H20" i="2" s="1"/>
  <c r="I18" i="2"/>
  <c r="J20" i="2"/>
  <c r="J13" i="2"/>
  <c r="J18" i="2"/>
  <c r="I20" i="2"/>
  <c r="I13" i="2"/>
  <c r="G9" i="2"/>
  <c r="G11" i="2" s="1"/>
  <c r="G20" i="2" s="1"/>
  <c r="K9" i="2"/>
  <c r="C19" i="2" l="1"/>
  <c r="D19" i="2"/>
  <c r="D15" i="2"/>
  <c r="E13" i="2"/>
  <c r="E20" i="2"/>
  <c r="H13" i="2"/>
  <c r="H18" i="2"/>
  <c r="F18" i="2"/>
  <c r="F20" i="2"/>
  <c r="J19" i="2"/>
  <c r="J15" i="2"/>
  <c r="I19" i="2"/>
  <c r="I15" i="2"/>
  <c r="H19" i="2"/>
  <c r="H15" i="2"/>
  <c r="F15" i="2"/>
  <c r="F19" i="2"/>
  <c r="G13" i="2"/>
  <c r="G19" i="2" s="1"/>
  <c r="G18" i="2"/>
  <c r="K11" i="2"/>
  <c r="K18" i="2"/>
  <c r="C15" i="2" l="1"/>
  <c r="E15" i="2"/>
  <c r="E19" i="2"/>
  <c r="G15" i="2"/>
  <c r="K13" i="2"/>
  <c r="K20" i="2"/>
  <c r="K15" i="2" l="1"/>
  <c r="K19" i="2"/>
</calcChain>
</file>

<file path=xl/sharedStrings.xml><?xml version="1.0" encoding="utf-8"?>
<sst xmlns="http://schemas.openxmlformats.org/spreadsheetml/2006/main" count="68" uniqueCount="61">
  <si>
    <t>Price</t>
  </si>
  <si>
    <t>Shares</t>
  </si>
  <si>
    <t>MC</t>
  </si>
  <si>
    <t>Cash</t>
  </si>
  <si>
    <t>Debt</t>
  </si>
  <si>
    <t>EV</t>
  </si>
  <si>
    <t>Q423</t>
  </si>
  <si>
    <t>Operating Income</t>
  </si>
  <si>
    <t>Taxes</t>
  </si>
  <si>
    <t>Taxes on Income in Percentage</t>
  </si>
  <si>
    <t>Net Profit</t>
  </si>
  <si>
    <t>COGS</t>
  </si>
  <si>
    <t>R&amp;D</t>
  </si>
  <si>
    <t>SG&amp;A</t>
  </si>
  <si>
    <t>Operating Expences</t>
  </si>
  <si>
    <t>Operating Profit</t>
  </si>
  <si>
    <t>Interest Income</t>
  </si>
  <si>
    <t>Pretax Income</t>
  </si>
  <si>
    <t>EPS</t>
  </si>
  <si>
    <t>Income Statement</t>
  </si>
  <si>
    <t>Revenue</t>
  </si>
  <si>
    <t>Gross Profit</t>
  </si>
  <si>
    <t xml:space="preserve">Net Income </t>
  </si>
  <si>
    <t>Gross Margin %</t>
  </si>
  <si>
    <t xml:space="preserve">Operating Margin % </t>
  </si>
  <si>
    <t>Net Margin %</t>
  </si>
  <si>
    <t>Tax Rate %</t>
  </si>
  <si>
    <t>Revenue Y/Y</t>
  </si>
  <si>
    <t xml:space="preserve">Balance Sheet </t>
  </si>
  <si>
    <t>A/R</t>
  </si>
  <si>
    <t>Inventories</t>
  </si>
  <si>
    <t>Vendor NTR</t>
  </si>
  <si>
    <t>OCA</t>
  </si>
  <si>
    <t>PP&amp;E</t>
  </si>
  <si>
    <t>ONCA</t>
  </si>
  <si>
    <t>Assets</t>
  </si>
  <si>
    <t>Q124</t>
  </si>
  <si>
    <t>30.12.2023</t>
  </si>
  <si>
    <t>31.12.2022</t>
  </si>
  <si>
    <t>Q123</t>
  </si>
  <si>
    <t>Q422</t>
  </si>
  <si>
    <t>Q223</t>
  </si>
  <si>
    <t>Q323</t>
  </si>
  <si>
    <t>30.09.23</t>
  </si>
  <si>
    <t>1.07.2023</t>
  </si>
  <si>
    <t>01.04.2023</t>
  </si>
  <si>
    <t>24.09.2022</t>
  </si>
  <si>
    <t>A/P</t>
  </si>
  <si>
    <t>D/R</t>
  </si>
  <si>
    <t>ONCL</t>
  </si>
  <si>
    <t>Liabilities</t>
  </si>
  <si>
    <t>S/E</t>
  </si>
  <si>
    <t>L+S/E</t>
  </si>
  <si>
    <t>OCL</t>
  </si>
  <si>
    <t>Q322</t>
  </si>
  <si>
    <t>Q222</t>
  </si>
  <si>
    <t>Q122</t>
  </si>
  <si>
    <t>25.06.22</t>
  </si>
  <si>
    <t>26.03.2022</t>
  </si>
  <si>
    <t>25.12.2021</t>
  </si>
  <si>
    <t xml:space="preserve">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</si>
</sst>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/>
    <xf numFmtId="9" fontId="0" fillId="0" borderId="0" xfId="1" applyFont="1"/>
    <xf numFmtId="0" fontId="2" fillId="0" borderId="0" xfId="0" applyFont="1"/>
    <xf numFmtId="4" fontId="2" fillId="0" borderId="0" xfId="0" applyNumberFormat="1" applyFont="1"/>
    <xf numFmtId="9" fontId="2" fillId="0" borderId="0" xfId="1" applyFon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3926-66FE-46FF-B4E3-E687EA870E9E}">
  <dimension ref="B3:H26"/>
  <sheetViews>
    <sheetView topLeftCell="C1" zoomScale="137" zoomScaleNormal="100" workbookViewId="0">
      <selection activeCell="G8" sqref="G8"/>
    </sheetView>
  </sheetViews>
  <sheetFormatPr defaultRowHeight="15" x14ac:dyDescent="0.25"/>
  <cols>
    <col min="1" max="1" width="18" customWidth="1"/>
    <col min="2" max="2" width="10.42578125" customWidth="1"/>
    <col min="3" max="3" width="10.42578125" bestFit="1" customWidth="1"/>
    <col min="6" max="6" width="27.140625" customWidth="1"/>
    <col min="7" max="7" width="10.7109375" style="1" customWidth="1"/>
  </cols>
  <sheetData>
    <row r="3" spans="2:8" x14ac:dyDescent="0.25">
      <c r="F3" t="s">
        <v>0</v>
      </c>
      <c r="G3" s="4">
        <v>168</v>
      </c>
    </row>
    <row r="4" spans="2:8" x14ac:dyDescent="0.25">
      <c r="F4" t="s">
        <v>1</v>
      </c>
      <c r="G4" s="3">
        <v>15441.880999999999</v>
      </c>
      <c r="H4" s="5" t="s">
        <v>6</v>
      </c>
    </row>
    <row r="5" spans="2:8" x14ac:dyDescent="0.25">
      <c r="F5" t="s">
        <v>2</v>
      </c>
      <c r="G5" s="2">
        <f>G4*G3</f>
        <v>2594236.0079999999</v>
      </c>
      <c r="H5" s="5" t="s">
        <v>6</v>
      </c>
    </row>
    <row r="6" spans="2:8" x14ac:dyDescent="0.25">
      <c r="F6" t="s">
        <v>3</v>
      </c>
      <c r="G6" s="3">
        <f>40760+32340+99475</f>
        <v>172575</v>
      </c>
    </row>
    <row r="7" spans="2:8" x14ac:dyDescent="0.25">
      <c r="F7" t="s">
        <v>4</v>
      </c>
      <c r="G7" s="3">
        <f>10954+95088+1988</f>
        <v>108030</v>
      </c>
      <c r="H7" s="5" t="s">
        <v>6</v>
      </c>
    </row>
    <row r="8" spans="2:8" x14ac:dyDescent="0.25">
      <c r="F8" t="s">
        <v>5</v>
      </c>
      <c r="G8" s="2">
        <f>G5+G7-G6</f>
        <v>2529691.0079999999</v>
      </c>
    </row>
    <row r="9" spans="2:8" x14ac:dyDescent="0.25">
      <c r="F9" t="s">
        <v>60</v>
      </c>
      <c r="G9" s="1">
        <f>G6-G7</f>
        <v>64545</v>
      </c>
    </row>
    <row r="10" spans="2:8" x14ac:dyDescent="0.25">
      <c r="B10" s="6"/>
      <c r="C10" s="6"/>
      <c r="F10" t="s">
        <v>7</v>
      </c>
      <c r="G10" s="6">
        <f>383285-214137-54857-565</f>
        <v>113726</v>
      </c>
    </row>
    <row r="11" spans="2:8" x14ac:dyDescent="0.25">
      <c r="B11" s="6"/>
      <c r="C11" s="6"/>
      <c r="F11" t="s">
        <v>8</v>
      </c>
      <c r="G11" s="6">
        <v>16741</v>
      </c>
    </row>
    <row r="12" spans="2:8" x14ac:dyDescent="0.25">
      <c r="B12" s="6"/>
      <c r="C12" s="6"/>
      <c r="F12" t="s">
        <v>9</v>
      </c>
      <c r="G12" s="7">
        <f>(G11/G10)</f>
        <v>0.14720468494451577</v>
      </c>
    </row>
    <row r="13" spans="2:8" x14ac:dyDescent="0.25">
      <c r="B13" s="6"/>
      <c r="C13" s="6"/>
      <c r="F13" s="8" t="s">
        <v>10</v>
      </c>
      <c r="G13" s="9">
        <f>G10-G11</f>
        <v>96985</v>
      </c>
    </row>
    <row r="14" spans="2:8" x14ac:dyDescent="0.25">
      <c r="B14" s="6"/>
      <c r="C14" s="6"/>
    </row>
    <row r="15" spans="2:8" x14ac:dyDescent="0.25">
      <c r="B15" s="6"/>
      <c r="C15" s="6"/>
    </row>
    <row r="16" spans="2:8" x14ac:dyDescent="0.25">
      <c r="B16" s="6"/>
      <c r="C16" s="6"/>
    </row>
    <row r="17" spans="2:3" x14ac:dyDescent="0.25">
      <c r="B17" s="6"/>
      <c r="C17" s="6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x14ac:dyDescent="0.25">
      <c r="B21" s="6"/>
    </row>
    <row r="23" spans="2:3" x14ac:dyDescent="0.25">
      <c r="B23" s="7"/>
    </row>
    <row r="24" spans="2:3" x14ac:dyDescent="0.25">
      <c r="B24" s="7"/>
    </row>
    <row r="25" spans="2:3" x14ac:dyDescent="0.25">
      <c r="B25" s="7"/>
    </row>
    <row r="26" spans="2:3" x14ac:dyDescent="0.25">
      <c r="B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4980-8A94-4FA5-B19D-2B43910E5163}">
  <dimension ref="A1:O42"/>
  <sheetViews>
    <sheetView tabSelected="1" topLeftCell="B1" zoomScale="97" zoomScaleNormal="97" workbookViewId="0">
      <selection activeCell="L17" sqref="L17"/>
    </sheetView>
  </sheetViews>
  <sheetFormatPr defaultRowHeight="15" x14ac:dyDescent="0.25"/>
  <cols>
    <col min="2" max="2" width="20.140625" bestFit="1" customWidth="1"/>
    <col min="3" max="5" width="20.140625" customWidth="1"/>
    <col min="6" max="6" width="10.7109375" customWidth="1"/>
    <col min="7" max="7" width="10.140625" bestFit="1" customWidth="1"/>
    <col min="8" max="8" width="10.140625" customWidth="1"/>
    <col min="9" max="9" width="12.42578125" customWidth="1"/>
    <col min="10" max="10" width="10.140625" customWidth="1"/>
    <col min="11" max="11" width="11.7109375" bestFit="1" customWidth="1"/>
    <col min="14" max="14" width="9.85546875" bestFit="1" customWidth="1"/>
    <col min="15" max="15" width="13.85546875" customWidth="1"/>
  </cols>
  <sheetData>
    <row r="1" spans="1:15" x14ac:dyDescent="0.25">
      <c r="C1" t="s">
        <v>56</v>
      </c>
      <c r="D1" t="s">
        <v>55</v>
      </c>
      <c r="E1" t="s">
        <v>54</v>
      </c>
      <c r="F1" t="s">
        <v>40</v>
      </c>
      <c r="G1" t="s">
        <v>39</v>
      </c>
      <c r="H1" t="s">
        <v>41</v>
      </c>
      <c r="I1" t="s">
        <v>42</v>
      </c>
      <c r="J1" t="s">
        <v>6</v>
      </c>
      <c r="K1" t="s">
        <v>36</v>
      </c>
      <c r="N1">
        <v>2022</v>
      </c>
      <c r="O1">
        <v>2023</v>
      </c>
    </row>
    <row r="2" spans="1:15" ht="17.25" customHeight="1" x14ac:dyDescent="0.25">
      <c r="B2" t="s">
        <v>19</v>
      </c>
      <c r="C2" t="s">
        <v>59</v>
      </c>
      <c r="D2" t="s">
        <v>58</v>
      </c>
      <c r="E2" s="1" t="s">
        <v>57</v>
      </c>
      <c r="F2" t="s">
        <v>46</v>
      </c>
      <c r="G2" t="s">
        <v>38</v>
      </c>
      <c r="H2" t="s">
        <v>45</v>
      </c>
      <c r="I2" t="s">
        <v>44</v>
      </c>
      <c r="J2" t="s">
        <v>43</v>
      </c>
      <c r="K2" t="s">
        <v>37</v>
      </c>
    </row>
    <row r="3" spans="1:15" s="11" customFormat="1" x14ac:dyDescent="0.25">
      <c r="A3" s="8"/>
      <c r="B3" s="8" t="s">
        <v>20</v>
      </c>
      <c r="C3" s="11">
        <f>104429+19516</f>
        <v>123945</v>
      </c>
      <c r="D3" s="11">
        <f>77457+19821</f>
        <v>97278</v>
      </c>
      <c r="E3" s="11">
        <f>63355+19604</f>
        <v>82959</v>
      </c>
      <c r="F3" s="11">
        <f>70958+19188</f>
        <v>90146</v>
      </c>
      <c r="G3" s="11">
        <f>96388+20766</f>
        <v>117154</v>
      </c>
      <c r="H3" s="11">
        <f>73929+20907</f>
        <v>94836</v>
      </c>
      <c r="I3" s="11">
        <f>60584+21213</f>
        <v>81797</v>
      </c>
      <c r="J3" s="11">
        <f>67184+22314</f>
        <v>89498</v>
      </c>
      <c r="K3" s="11">
        <f>96458+23117</f>
        <v>119575</v>
      </c>
      <c r="N3" s="11">
        <f>SUM(C3:F3)</f>
        <v>394328</v>
      </c>
      <c r="O3" s="11">
        <f>SUM(D3:G3)</f>
        <v>387537</v>
      </c>
    </row>
    <row r="4" spans="1:15" s="1" customFormat="1" x14ac:dyDescent="0.25">
      <c r="A4"/>
      <c r="B4" t="s">
        <v>11</v>
      </c>
      <c r="C4" s="1">
        <f>64309+5393</f>
        <v>69702</v>
      </c>
      <c r="D4" s="1">
        <f>49290+5429</f>
        <v>54719</v>
      </c>
      <c r="E4" s="1">
        <f>41485+5589</f>
        <v>47074</v>
      </c>
      <c r="F4" s="1">
        <f>46387+5664</f>
        <v>52051</v>
      </c>
      <c r="G4" s="1">
        <f>60765+6057</f>
        <v>66822</v>
      </c>
      <c r="H4" s="1">
        <f>46795+6065</f>
        <v>52860</v>
      </c>
      <c r="I4" s="1">
        <f>39136+6248</f>
        <v>45384</v>
      </c>
      <c r="J4" s="1">
        <f>42586+6485</f>
        <v>49071</v>
      </c>
      <c r="K4" s="1">
        <f>58440+6280</f>
        <v>64720</v>
      </c>
      <c r="N4" s="1">
        <f>SUM(C4:F4)</f>
        <v>223546</v>
      </c>
      <c r="O4" s="1">
        <f>SUM(D4:G4)</f>
        <v>220666</v>
      </c>
    </row>
    <row r="5" spans="1:15" s="1" customFormat="1" x14ac:dyDescent="0.25">
      <c r="A5"/>
      <c r="B5" t="s">
        <v>21</v>
      </c>
      <c r="C5" s="1">
        <f t="shared" ref="C5:K5" si="0">C3-C4</f>
        <v>54243</v>
      </c>
      <c r="D5" s="1">
        <f t="shared" si="0"/>
        <v>42559</v>
      </c>
      <c r="E5" s="1">
        <f t="shared" si="0"/>
        <v>35885</v>
      </c>
      <c r="F5" s="1">
        <f t="shared" si="0"/>
        <v>38095</v>
      </c>
      <c r="G5" s="1">
        <f t="shared" si="0"/>
        <v>50332</v>
      </c>
      <c r="H5" s="1">
        <f t="shared" si="0"/>
        <v>41976</v>
      </c>
      <c r="I5" s="1">
        <f t="shared" si="0"/>
        <v>36413</v>
      </c>
      <c r="J5" s="1">
        <f t="shared" si="0"/>
        <v>40427</v>
      </c>
      <c r="K5" s="1">
        <f t="shared" si="0"/>
        <v>54855</v>
      </c>
      <c r="N5" s="1">
        <f t="shared" ref="N5:N12" si="1">SUM(C5:F5)</f>
        <v>170782</v>
      </c>
      <c r="O5" s="1">
        <f t="shared" ref="O5:O12" si="2">SUM(D5:G5)</f>
        <v>166871</v>
      </c>
    </row>
    <row r="6" spans="1:15" s="1" customFormat="1" x14ac:dyDescent="0.25">
      <c r="A6"/>
      <c r="B6" t="s">
        <v>12</v>
      </c>
      <c r="C6" s="1">
        <v>6306</v>
      </c>
      <c r="D6" s="1">
        <v>6387</v>
      </c>
      <c r="E6" s="1">
        <v>6797</v>
      </c>
      <c r="F6" s="1">
        <v>6761</v>
      </c>
      <c r="G6" s="1">
        <v>7709</v>
      </c>
      <c r="H6" s="1">
        <v>7457</v>
      </c>
      <c r="I6" s="1">
        <v>7442</v>
      </c>
      <c r="J6" s="1">
        <v>7307</v>
      </c>
      <c r="K6" s="1">
        <v>7696</v>
      </c>
      <c r="N6" s="1">
        <f t="shared" si="1"/>
        <v>26251</v>
      </c>
      <c r="O6" s="1">
        <f t="shared" si="2"/>
        <v>27654</v>
      </c>
    </row>
    <row r="7" spans="1:15" s="1" customFormat="1" x14ac:dyDescent="0.25">
      <c r="A7"/>
      <c r="B7" t="s">
        <v>13</v>
      </c>
      <c r="C7" s="1">
        <v>6449</v>
      </c>
      <c r="D7" s="1">
        <v>6193</v>
      </c>
      <c r="E7" s="1">
        <v>6012</v>
      </c>
      <c r="F7" s="1">
        <v>6440</v>
      </c>
      <c r="G7" s="1">
        <v>6607</v>
      </c>
      <c r="H7" s="1">
        <v>6201</v>
      </c>
      <c r="I7" s="1">
        <v>5973</v>
      </c>
      <c r="J7" s="1">
        <v>6151</v>
      </c>
      <c r="K7" s="1">
        <v>6786</v>
      </c>
      <c r="N7" s="1">
        <f t="shared" si="1"/>
        <v>25094</v>
      </c>
      <c r="O7" s="1">
        <f t="shared" si="2"/>
        <v>25252</v>
      </c>
    </row>
    <row r="8" spans="1:15" s="1" customFormat="1" x14ac:dyDescent="0.25">
      <c r="A8"/>
      <c r="B8" t="s">
        <v>14</v>
      </c>
      <c r="C8" s="1">
        <f t="shared" ref="C8:K8" si="3">C6+C7</f>
        <v>12755</v>
      </c>
      <c r="D8" s="1">
        <f t="shared" si="3"/>
        <v>12580</v>
      </c>
      <c r="E8" s="1">
        <f t="shared" si="3"/>
        <v>12809</v>
      </c>
      <c r="F8" s="1">
        <f t="shared" si="3"/>
        <v>13201</v>
      </c>
      <c r="G8" s="1">
        <f t="shared" si="3"/>
        <v>14316</v>
      </c>
      <c r="H8" s="1">
        <f t="shared" si="3"/>
        <v>13658</v>
      </c>
      <c r="I8" s="1">
        <f t="shared" si="3"/>
        <v>13415</v>
      </c>
      <c r="J8" s="1">
        <f t="shared" si="3"/>
        <v>13458</v>
      </c>
      <c r="K8" s="1">
        <f t="shared" si="3"/>
        <v>14482</v>
      </c>
      <c r="N8" s="1">
        <f t="shared" si="1"/>
        <v>51345</v>
      </c>
      <c r="O8" s="1">
        <f t="shared" si="2"/>
        <v>52906</v>
      </c>
    </row>
    <row r="9" spans="1:15" s="11" customFormat="1" x14ac:dyDescent="0.25">
      <c r="A9" s="8"/>
      <c r="B9" s="8" t="s">
        <v>15</v>
      </c>
      <c r="C9" s="11">
        <f t="shared" ref="C9:K9" si="4">C5-C8</f>
        <v>41488</v>
      </c>
      <c r="D9" s="11">
        <f t="shared" si="4"/>
        <v>29979</v>
      </c>
      <c r="E9" s="11">
        <f t="shared" si="4"/>
        <v>23076</v>
      </c>
      <c r="F9" s="11">
        <f t="shared" si="4"/>
        <v>24894</v>
      </c>
      <c r="G9" s="11">
        <f t="shared" si="4"/>
        <v>36016</v>
      </c>
      <c r="H9" s="11">
        <f t="shared" si="4"/>
        <v>28318</v>
      </c>
      <c r="I9" s="11">
        <f t="shared" si="4"/>
        <v>22998</v>
      </c>
      <c r="J9" s="11">
        <f t="shared" si="4"/>
        <v>26969</v>
      </c>
      <c r="K9" s="11">
        <f t="shared" si="4"/>
        <v>40373</v>
      </c>
      <c r="N9" s="1">
        <f t="shared" si="1"/>
        <v>119437</v>
      </c>
      <c r="O9" s="1">
        <f t="shared" si="2"/>
        <v>113965</v>
      </c>
    </row>
    <row r="10" spans="1:15" s="1" customFormat="1" x14ac:dyDescent="0.25">
      <c r="A10"/>
      <c r="B10" t="s">
        <v>16</v>
      </c>
      <c r="C10" s="1">
        <v>247</v>
      </c>
      <c r="D10" s="1">
        <v>160</v>
      </c>
      <c r="E10" s="1">
        <v>10</v>
      </c>
      <c r="F10" s="1">
        <v>237</v>
      </c>
      <c r="G10" s="1">
        <v>393</v>
      </c>
      <c r="H10" s="1">
        <v>64</v>
      </c>
      <c r="I10" s="1">
        <v>265</v>
      </c>
      <c r="J10" s="1">
        <v>29</v>
      </c>
      <c r="K10" s="1">
        <v>50</v>
      </c>
      <c r="N10" s="1">
        <f t="shared" si="1"/>
        <v>654</v>
      </c>
      <c r="O10" s="1">
        <f t="shared" si="2"/>
        <v>800</v>
      </c>
    </row>
    <row r="11" spans="1:15" s="1" customFormat="1" x14ac:dyDescent="0.25">
      <c r="A11"/>
      <c r="B11" t="s">
        <v>17</v>
      </c>
      <c r="C11" s="1">
        <f>C9-C10</f>
        <v>41241</v>
      </c>
      <c r="D11" s="1">
        <f>D9+D10</f>
        <v>30139</v>
      </c>
      <c r="E11" s="1">
        <f>E9-E10</f>
        <v>23066</v>
      </c>
      <c r="F11" s="1">
        <f>F9-F10</f>
        <v>24657</v>
      </c>
      <c r="G11" s="1">
        <f>G9-G10</f>
        <v>35623</v>
      </c>
      <c r="H11" s="1">
        <f>H9+H10</f>
        <v>28382</v>
      </c>
      <c r="I11" s="1">
        <f>I9-I10</f>
        <v>22733</v>
      </c>
      <c r="J11" s="1">
        <f>J9+J10</f>
        <v>26998</v>
      </c>
      <c r="K11" s="1">
        <f>K9-K10</f>
        <v>40323</v>
      </c>
      <c r="N11" s="1">
        <f t="shared" si="1"/>
        <v>119103</v>
      </c>
      <c r="O11" s="1">
        <f t="shared" si="2"/>
        <v>113485</v>
      </c>
    </row>
    <row r="12" spans="1:15" s="1" customFormat="1" x14ac:dyDescent="0.25">
      <c r="A12"/>
      <c r="B12" t="s">
        <v>8</v>
      </c>
      <c r="C12" s="1">
        <v>6611</v>
      </c>
      <c r="D12" s="1">
        <v>5129</v>
      </c>
      <c r="E12" s="1">
        <v>3624</v>
      </c>
      <c r="F12" s="1">
        <v>3936</v>
      </c>
      <c r="G12" s="1">
        <v>5625</v>
      </c>
      <c r="H12" s="1">
        <v>4222</v>
      </c>
      <c r="I12" s="1">
        <v>2852</v>
      </c>
      <c r="J12" s="1">
        <v>4042</v>
      </c>
      <c r="K12" s="1">
        <v>6407</v>
      </c>
      <c r="N12" s="1">
        <f t="shared" si="1"/>
        <v>19300</v>
      </c>
      <c r="O12" s="1">
        <f t="shared" si="2"/>
        <v>18314</v>
      </c>
    </row>
    <row r="13" spans="1:15" s="11" customFormat="1" x14ac:dyDescent="0.25">
      <c r="A13" s="8"/>
      <c r="B13" s="8" t="s">
        <v>22</v>
      </c>
      <c r="C13" s="11">
        <f t="shared" ref="C13:K13" si="5">C11-C12</f>
        <v>34630</v>
      </c>
      <c r="D13" s="11">
        <f t="shared" si="5"/>
        <v>25010</v>
      </c>
      <c r="E13" s="11">
        <f t="shared" si="5"/>
        <v>19442</v>
      </c>
      <c r="F13" s="11">
        <f t="shared" si="5"/>
        <v>20721</v>
      </c>
      <c r="G13" s="11">
        <f t="shared" si="5"/>
        <v>29998</v>
      </c>
      <c r="H13" s="11">
        <f t="shared" si="5"/>
        <v>24160</v>
      </c>
      <c r="I13" s="11">
        <f t="shared" si="5"/>
        <v>19881</v>
      </c>
      <c r="J13" s="11">
        <f t="shared" si="5"/>
        <v>22956</v>
      </c>
      <c r="K13" s="11">
        <f t="shared" si="5"/>
        <v>33916</v>
      </c>
      <c r="N13" s="11">
        <f>SUM(C13:F13)</f>
        <v>99803</v>
      </c>
      <c r="O13" s="11">
        <f>SUM(D13:G13)</f>
        <v>95171</v>
      </c>
    </row>
    <row r="14" spans="1:15" s="1" customFormat="1" x14ac:dyDescent="0.25">
      <c r="A14"/>
      <c r="B14" t="s">
        <v>1</v>
      </c>
      <c r="C14" s="1">
        <v>16519.291000000001</v>
      </c>
      <c r="D14" s="1">
        <v>16403.315999999999</v>
      </c>
      <c r="E14" s="1">
        <v>16262.203</v>
      </c>
      <c r="F14" s="1">
        <v>16118.465</v>
      </c>
      <c r="G14" s="1">
        <v>15955.718000000001</v>
      </c>
      <c r="H14" s="1">
        <v>15847.154</v>
      </c>
      <c r="I14" s="1">
        <v>15775.021000000001</v>
      </c>
      <c r="J14" s="1">
        <v>15672.4</v>
      </c>
      <c r="K14" s="1">
        <v>15576.641</v>
      </c>
      <c r="N14" s="1">
        <f>AVERAGE(C14:F14)</f>
        <v>16325.818750000002</v>
      </c>
      <c r="O14" s="1">
        <f>AVERAGE(D14:G14)</f>
        <v>16184.925499999999</v>
      </c>
    </row>
    <row r="15" spans="1:15" s="1" customFormat="1" x14ac:dyDescent="0.25">
      <c r="A15"/>
      <c r="B15" t="s">
        <v>18</v>
      </c>
      <c r="C15" s="1">
        <f t="shared" ref="C15:K15" si="6">C13/C14</f>
        <v>2.0963369432743812</v>
      </c>
      <c r="D15" s="1">
        <f t="shared" si="6"/>
        <v>1.5246917147727936</v>
      </c>
      <c r="E15" s="1">
        <f t="shared" si="6"/>
        <v>1.1955329791418789</v>
      </c>
      <c r="F15" s="1">
        <f t="shared" si="6"/>
        <v>1.2855442500262897</v>
      </c>
      <c r="G15" s="1">
        <f t="shared" si="6"/>
        <v>1.8800783518485347</v>
      </c>
      <c r="H15" s="1">
        <f t="shared" si="6"/>
        <v>1.5245639690256054</v>
      </c>
      <c r="I15" s="1">
        <f t="shared" si="6"/>
        <v>1.2602835837746269</v>
      </c>
      <c r="J15" s="1">
        <f t="shared" si="6"/>
        <v>1.4647405630279984</v>
      </c>
      <c r="K15" s="1">
        <f t="shared" si="6"/>
        <v>2.1773628858750742</v>
      </c>
      <c r="N15" s="1">
        <f>+N13/N14</f>
        <v>6.1132002950847406</v>
      </c>
      <c r="O15" s="1">
        <f>+O13/O14</f>
        <v>5.8802247807689945</v>
      </c>
    </row>
    <row r="16" spans="1:15" x14ac:dyDescent="0.25">
      <c r="C16" s="6"/>
      <c r="D16" s="6"/>
      <c r="E16" s="6"/>
      <c r="F16" s="6"/>
      <c r="G16" s="6"/>
      <c r="H16" s="6"/>
      <c r="I16" s="6"/>
      <c r="J16" s="6"/>
      <c r="K16" s="6"/>
    </row>
    <row r="17" spans="2:15" x14ac:dyDescent="0.25">
      <c r="B17" t="s">
        <v>23</v>
      </c>
      <c r="C17" s="13">
        <f t="shared" ref="C17:K17" si="7">C4/C3</f>
        <v>0.56236233813384973</v>
      </c>
      <c r="D17" s="13">
        <f t="shared" si="7"/>
        <v>0.56250128497707597</v>
      </c>
      <c r="E17" s="13">
        <f t="shared" si="7"/>
        <v>0.56743692667462242</v>
      </c>
      <c r="F17" s="13">
        <f t="shared" si="7"/>
        <v>0.5774077607436825</v>
      </c>
      <c r="G17" s="13">
        <f t="shared" si="7"/>
        <v>0.57037745190091671</v>
      </c>
      <c r="H17" s="13">
        <f t="shared" si="7"/>
        <v>0.5573832721751234</v>
      </c>
      <c r="I17" s="13">
        <f t="shared" si="7"/>
        <v>0.55483697446116609</v>
      </c>
      <c r="J17" s="13">
        <f t="shared" si="7"/>
        <v>0.54829158193479188</v>
      </c>
      <c r="K17" s="13">
        <f t="shared" si="7"/>
        <v>0.54125026134225385</v>
      </c>
      <c r="N17" s="13">
        <f>N4/N3</f>
        <v>0.56690369438639909</v>
      </c>
      <c r="O17" s="13">
        <f>O4/O3</f>
        <v>0.56940627604590011</v>
      </c>
    </row>
    <row r="18" spans="2:15" x14ac:dyDescent="0.25">
      <c r="B18" t="s">
        <v>24</v>
      </c>
      <c r="C18" s="7">
        <f t="shared" ref="C18" si="8">C8/C9</f>
        <v>0.30743829541072115</v>
      </c>
      <c r="D18" s="7">
        <f t="shared" ref="D18:E18" si="9">D8/D9</f>
        <v>0.41962707228393209</v>
      </c>
      <c r="E18" s="7">
        <f t="shared" si="9"/>
        <v>0.55507886982145949</v>
      </c>
      <c r="F18" s="7">
        <f t="shared" ref="F18:K18" si="10">F8/F9</f>
        <v>0.53028842291315181</v>
      </c>
      <c r="G18" s="7">
        <f t="shared" si="10"/>
        <v>0.39749000444247001</v>
      </c>
      <c r="H18" s="7">
        <f t="shared" si="10"/>
        <v>0.48230807260399744</v>
      </c>
      <c r="I18" s="7">
        <f t="shared" si="10"/>
        <v>0.58331159231237495</v>
      </c>
      <c r="J18" s="7">
        <f t="shared" si="10"/>
        <v>0.49901739033705367</v>
      </c>
      <c r="K18" s="7">
        <f t="shared" si="10"/>
        <v>0.35870507517400241</v>
      </c>
      <c r="N18" s="7">
        <f t="shared" ref="N18:O18" si="11">N8/N9</f>
        <v>0.42989190954226913</v>
      </c>
      <c r="O18" s="7">
        <f t="shared" si="11"/>
        <v>0.46423024612819724</v>
      </c>
    </row>
    <row r="19" spans="2:15" x14ac:dyDescent="0.25">
      <c r="B19" t="s">
        <v>25</v>
      </c>
      <c r="C19" s="7">
        <f t="shared" ref="C19" si="12">C13/C3</f>
        <v>0.27939812013393039</v>
      </c>
      <c r="D19" s="7">
        <f t="shared" ref="D19:E19" si="13">D13/D3</f>
        <v>0.25709821336787353</v>
      </c>
      <c r="E19" s="7">
        <f t="shared" si="13"/>
        <v>0.23435673043310551</v>
      </c>
      <c r="F19" s="7">
        <f t="shared" ref="F19:K19" si="14">F13/F3</f>
        <v>0.22986044860559537</v>
      </c>
      <c r="G19" s="7">
        <f t="shared" si="14"/>
        <v>0.2560561312460522</v>
      </c>
      <c r="H19" s="7">
        <f t="shared" si="14"/>
        <v>0.25475557805052934</v>
      </c>
      <c r="I19" s="7">
        <f t="shared" si="14"/>
        <v>0.24305292370135825</v>
      </c>
      <c r="J19" s="7">
        <f t="shared" si="14"/>
        <v>0.25649735189613176</v>
      </c>
      <c r="K19" s="7">
        <f t="shared" si="14"/>
        <v>0.28363788417311309</v>
      </c>
      <c r="N19" s="7">
        <f t="shared" ref="N19:O19" si="15">N13/N3</f>
        <v>0.25309640705199732</v>
      </c>
      <c r="O19" s="7">
        <f t="shared" si="15"/>
        <v>0.24557913179902821</v>
      </c>
    </row>
    <row r="20" spans="2:15" x14ac:dyDescent="0.25">
      <c r="B20" t="s">
        <v>26</v>
      </c>
      <c r="C20" s="7">
        <f t="shared" ref="C20" si="16">C12/C11</f>
        <v>0.16030164157028201</v>
      </c>
      <c r="D20" s="7">
        <f t="shared" ref="D20:E20" si="17">D12/D11</f>
        <v>0.17017817445834302</v>
      </c>
      <c r="E20" s="7">
        <f t="shared" si="17"/>
        <v>0.15711436746726784</v>
      </c>
      <c r="F20" s="7">
        <f t="shared" ref="F20:K20" si="18">F12/F11</f>
        <v>0.15963012531938192</v>
      </c>
      <c r="G20" s="7">
        <f t="shared" si="18"/>
        <v>0.15790360160570419</v>
      </c>
      <c r="H20" s="7">
        <f t="shared" si="18"/>
        <v>0.14875625396377987</v>
      </c>
      <c r="I20" s="7">
        <f t="shared" si="18"/>
        <v>0.12545638499098227</v>
      </c>
      <c r="J20" s="7">
        <f t="shared" si="18"/>
        <v>0.14971479368842136</v>
      </c>
      <c r="K20" s="7">
        <f t="shared" si="18"/>
        <v>0.15889194752374575</v>
      </c>
      <c r="N20" s="7">
        <f t="shared" ref="N20:O20" si="19">N12/N11</f>
        <v>0.16204461684424407</v>
      </c>
      <c r="O20" s="7">
        <f t="shared" si="19"/>
        <v>0.16137815570339692</v>
      </c>
    </row>
    <row r="21" spans="2:15" s="8" customFormat="1" x14ac:dyDescent="0.25">
      <c r="B21" s="8" t="s">
        <v>27</v>
      </c>
      <c r="F21" s="10"/>
      <c r="G21" s="10">
        <f t="shared" ref="G21:I21" si="20">G3/C3-1</f>
        <v>-5.4790431239662762E-2</v>
      </c>
      <c r="H21" s="10">
        <f t="shared" si="20"/>
        <v>-2.5103312156911084E-2</v>
      </c>
      <c r="I21" s="10">
        <f t="shared" si="20"/>
        <v>-1.4006919080509661E-2</v>
      </c>
      <c r="J21" s="10">
        <f>J3/F3-1</f>
        <v>-7.1883389168682088E-3</v>
      </c>
      <c r="K21" s="10">
        <f>K3/G3-1</f>
        <v>2.0665107465387411E-2</v>
      </c>
      <c r="O21" s="12">
        <f>O3/N3-1</f>
        <v>-1.7221703759306983E-2</v>
      </c>
    </row>
    <row r="24" spans="2:15" x14ac:dyDescent="0.25">
      <c r="B24" t="s">
        <v>28</v>
      </c>
    </row>
    <row r="25" spans="2:15" x14ac:dyDescent="0.25">
      <c r="B25" t="s">
        <v>3</v>
      </c>
      <c r="G25" s="6">
        <f>29965+31590+100544</f>
        <v>162099</v>
      </c>
      <c r="H25" s="6"/>
      <c r="I25" s="6"/>
      <c r="J25" s="6"/>
      <c r="K25" s="6">
        <f>40760+32340+99475</f>
        <v>172575</v>
      </c>
    </row>
    <row r="26" spans="2:15" x14ac:dyDescent="0.25">
      <c r="B26" t="s">
        <v>29</v>
      </c>
      <c r="G26" s="6">
        <v>29508</v>
      </c>
      <c r="H26" s="6"/>
      <c r="I26" s="6"/>
      <c r="J26" s="6"/>
      <c r="K26" s="6">
        <v>23194</v>
      </c>
    </row>
    <row r="27" spans="2:15" x14ac:dyDescent="0.25">
      <c r="B27" t="s">
        <v>30</v>
      </c>
      <c r="G27" s="6">
        <v>6331</v>
      </c>
      <c r="H27" s="6"/>
      <c r="I27" s="6"/>
      <c r="J27" s="6"/>
      <c r="K27" s="6">
        <v>6511</v>
      </c>
    </row>
    <row r="28" spans="2:15" x14ac:dyDescent="0.25">
      <c r="B28" t="s">
        <v>31</v>
      </c>
      <c r="G28" s="6">
        <v>31477</v>
      </c>
      <c r="H28" s="6"/>
      <c r="I28" s="6"/>
      <c r="J28" s="6"/>
      <c r="K28" s="6">
        <v>26908</v>
      </c>
    </row>
    <row r="29" spans="2:15" x14ac:dyDescent="0.25">
      <c r="B29" t="s">
        <v>32</v>
      </c>
      <c r="G29" s="6">
        <v>14695</v>
      </c>
      <c r="H29" s="6"/>
      <c r="I29" s="6"/>
      <c r="J29" s="6"/>
      <c r="K29" s="6">
        <v>13979</v>
      </c>
    </row>
    <row r="30" spans="2:15" x14ac:dyDescent="0.25">
      <c r="B30" t="s">
        <v>33</v>
      </c>
      <c r="G30" s="6">
        <v>43715</v>
      </c>
      <c r="H30" s="6"/>
      <c r="I30" s="6"/>
      <c r="J30" s="6"/>
      <c r="K30" s="6">
        <v>43666</v>
      </c>
    </row>
    <row r="31" spans="2:15" x14ac:dyDescent="0.25">
      <c r="B31" t="s">
        <v>34</v>
      </c>
      <c r="G31" s="6">
        <v>64758</v>
      </c>
      <c r="H31" s="6"/>
      <c r="I31" s="6"/>
      <c r="J31" s="6"/>
      <c r="K31" s="6">
        <v>66681</v>
      </c>
    </row>
    <row r="32" spans="2:15" x14ac:dyDescent="0.25">
      <c r="B32" t="s">
        <v>35</v>
      </c>
      <c r="G32" s="6">
        <f>SUM(G25:G31)</f>
        <v>352583</v>
      </c>
      <c r="H32" s="6"/>
      <c r="I32" s="6"/>
      <c r="J32" s="6"/>
      <c r="K32" s="6">
        <f>SUM(K25:K31)</f>
        <v>353514</v>
      </c>
    </row>
    <row r="35" spans="2:11" x14ac:dyDescent="0.25">
      <c r="B35" t="s">
        <v>47</v>
      </c>
      <c r="F35" s="6"/>
      <c r="G35" s="6">
        <v>62611</v>
      </c>
      <c r="H35" s="6"/>
      <c r="I35" s="6"/>
      <c r="J35" s="6"/>
      <c r="K35" s="6">
        <v>58146</v>
      </c>
    </row>
    <row r="36" spans="2:11" x14ac:dyDescent="0.25">
      <c r="B36" t="s">
        <v>48</v>
      </c>
      <c r="F36" s="6"/>
      <c r="G36" s="6">
        <v>8061</v>
      </c>
      <c r="H36" s="6"/>
      <c r="I36" s="6"/>
      <c r="J36" s="6"/>
      <c r="K36" s="6">
        <v>8264</v>
      </c>
    </row>
    <row r="37" spans="2:11" x14ac:dyDescent="0.25">
      <c r="B37" t="s">
        <v>4</v>
      </c>
      <c r="F37" s="6"/>
      <c r="G37" s="6">
        <f>5985+9822+95281</f>
        <v>111088</v>
      </c>
      <c r="H37" s="6"/>
      <c r="I37" s="6"/>
      <c r="J37" s="6"/>
      <c r="K37" s="6">
        <f>10954+95088+1998</f>
        <v>108040</v>
      </c>
    </row>
    <row r="38" spans="2:11" x14ac:dyDescent="0.25">
      <c r="B38" t="s">
        <v>53</v>
      </c>
      <c r="F38" s="6"/>
      <c r="G38" s="6">
        <v>58829</v>
      </c>
      <c r="H38" s="6"/>
      <c r="I38" s="6"/>
      <c r="J38" s="6"/>
      <c r="K38" s="6">
        <v>54611</v>
      </c>
    </row>
    <row r="39" spans="2:11" x14ac:dyDescent="0.25">
      <c r="B39" t="s">
        <v>49</v>
      </c>
      <c r="F39" s="6"/>
      <c r="G39" s="6">
        <v>49848</v>
      </c>
      <c r="H39" s="6"/>
      <c r="I39" s="6"/>
      <c r="J39" s="6"/>
      <c r="K39" s="6">
        <v>50353</v>
      </c>
    </row>
    <row r="40" spans="2:11" x14ac:dyDescent="0.25">
      <c r="B40" t="s">
        <v>50</v>
      </c>
      <c r="F40" s="6"/>
      <c r="G40" s="6">
        <f>SUM(G35:G39)</f>
        <v>290437</v>
      </c>
      <c r="H40" s="6"/>
      <c r="I40" s="6"/>
      <c r="J40" s="6"/>
      <c r="K40" s="6">
        <f>SUM(K35:K39)</f>
        <v>279414</v>
      </c>
    </row>
    <row r="41" spans="2:11" x14ac:dyDescent="0.25">
      <c r="B41" t="s">
        <v>51</v>
      </c>
      <c r="F41" s="6"/>
      <c r="G41" s="6">
        <v>62146</v>
      </c>
      <c r="H41" s="6"/>
      <c r="I41" s="6"/>
      <c r="J41" s="6"/>
      <c r="K41" s="6">
        <v>74100</v>
      </c>
    </row>
    <row r="42" spans="2:11" x14ac:dyDescent="0.25">
      <c r="B42" t="s">
        <v>52</v>
      </c>
      <c r="F42" s="6"/>
      <c r="G42" s="6">
        <f>G41+G40</f>
        <v>352583</v>
      </c>
      <c r="H42" s="6"/>
      <c r="I42" s="6"/>
      <c r="J42" s="6"/>
      <c r="K42" s="6">
        <f>K40+K41</f>
        <v>353514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Mansurov, Bakhrom</dc:creator>
  <cp:lastModifiedBy>bakhrom mansurov</cp:lastModifiedBy>
  <dcterms:created xsi:type="dcterms:W3CDTF">2024-04-25T15:45:43Z</dcterms:created>
  <dcterms:modified xsi:type="dcterms:W3CDTF">2024-05-20T13:35:19Z</dcterms:modified>
</cp:coreProperties>
</file>