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50809ad8919981a3/Рабочий стол/Financial Modelling/"/>
    </mc:Choice>
  </mc:AlternateContent>
  <xr:revisionPtr revIDLastSave="400" documentId="11_F25DC773A252ABDACC10480A611F4EDE5ADE58F3" xr6:coauthVersionLast="47" xr6:coauthVersionMax="47" xr10:uidLastSave="{F14FAE07-571C-48B1-87BB-43A638A6DDA6}"/>
  <bookViews>
    <workbookView xWindow="-120" yWindow="-120" windowWidth="20730" windowHeight="11760" activeTab="1" xr2:uid="{00000000-000D-0000-FFFF-FFFF00000000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E28" i="1"/>
  <c r="D28" i="1"/>
  <c r="C28" i="1"/>
  <c r="F27" i="1"/>
  <c r="E27" i="1"/>
  <c r="D27" i="1"/>
  <c r="C27" i="1"/>
  <c r="G27" i="1"/>
  <c r="J26" i="1"/>
  <c r="I26" i="1"/>
  <c r="H26" i="1"/>
  <c r="G26" i="1"/>
  <c r="J22" i="1"/>
  <c r="I22" i="1"/>
  <c r="H22" i="1"/>
  <c r="G22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15" i="1"/>
  <c r="C13" i="1"/>
  <c r="C8" i="1"/>
  <c r="C5" i="1"/>
  <c r="D15" i="1"/>
  <c r="D13" i="1"/>
  <c r="D8" i="1"/>
  <c r="D5" i="1"/>
  <c r="E15" i="1"/>
  <c r="E13" i="1"/>
  <c r="E8" i="1"/>
  <c r="E5" i="1"/>
  <c r="Q25" i="1"/>
  <c r="R25" i="1"/>
  <c r="Q24" i="1"/>
  <c r="R24" i="1"/>
  <c r="Q23" i="1"/>
  <c r="R23" i="1"/>
  <c r="E8" i="2"/>
  <c r="E6" i="2"/>
  <c r="E5" i="2"/>
  <c r="J12" i="1"/>
  <c r="J11" i="1"/>
  <c r="J10" i="1"/>
  <c r="J7" i="1"/>
  <c r="J6" i="1"/>
  <c r="J4" i="1"/>
  <c r="J3" i="1"/>
  <c r="N12" i="1"/>
  <c r="N11" i="1"/>
  <c r="N10" i="1"/>
  <c r="N7" i="1"/>
  <c r="N6" i="1"/>
  <c r="N4" i="1"/>
  <c r="N3" i="1"/>
  <c r="G15" i="1"/>
  <c r="G13" i="1"/>
  <c r="G8" i="1"/>
  <c r="G5" i="1"/>
  <c r="K15" i="1"/>
  <c r="K13" i="1"/>
  <c r="K8" i="1"/>
  <c r="K5" i="1"/>
  <c r="H15" i="1"/>
  <c r="H13" i="1"/>
  <c r="H8" i="1"/>
  <c r="H5" i="1"/>
  <c r="L15" i="1"/>
  <c r="L13" i="1"/>
  <c r="L8" i="1"/>
  <c r="L5" i="1"/>
  <c r="I15" i="1"/>
  <c r="I13" i="1"/>
  <c r="I8" i="1"/>
  <c r="I5" i="1"/>
  <c r="M15" i="1"/>
  <c r="M13" i="1"/>
  <c r="M8" i="1"/>
  <c r="M5" i="1"/>
  <c r="P15" i="1"/>
  <c r="P13" i="1"/>
  <c r="P8" i="1"/>
  <c r="P5" i="1"/>
  <c r="Q17" i="1"/>
  <c r="J17" i="1" s="1"/>
  <c r="Q15" i="1"/>
  <c r="Q13" i="1"/>
  <c r="J13" i="1" s="1"/>
  <c r="Q8" i="1"/>
  <c r="Q5" i="1"/>
  <c r="R17" i="1"/>
  <c r="N17" i="1" s="1"/>
  <c r="R15" i="1"/>
  <c r="N15" i="1" s="1"/>
  <c r="R13" i="1"/>
  <c r="R8" i="1"/>
  <c r="R5" i="1"/>
  <c r="C9" i="1" l="1"/>
  <c r="C14" i="1" s="1"/>
  <c r="C16" i="1" s="1"/>
  <c r="C18" i="1" s="1"/>
  <c r="D9" i="1"/>
  <c r="D14" i="1" s="1"/>
  <c r="D16" i="1" s="1"/>
  <c r="D18" i="1" s="1"/>
  <c r="E9" i="1"/>
  <c r="E14" i="1" s="1"/>
  <c r="E16" i="1" s="1"/>
  <c r="E18" i="1" s="1"/>
  <c r="J15" i="1"/>
  <c r="R22" i="1"/>
  <c r="L22" i="1"/>
  <c r="K22" i="1"/>
  <c r="N13" i="1"/>
  <c r="N5" i="1"/>
  <c r="R9" i="1"/>
  <c r="Q22" i="1"/>
  <c r="M9" i="1"/>
  <c r="N8" i="1"/>
  <c r="J8" i="1"/>
  <c r="M22" i="1"/>
  <c r="J5" i="1"/>
  <c r="G9" i="1"/>
  <c r="G14" i="1" s="1"/>
  <c r="G16" i="1" s="1"/>
  <c r="K9" i="1"/>
  <c r="H9" i="1"/>
  <c r="L9" i="1"/>
  <c r="I9" i="1"/>
  <c r="P9" i="1"/>
  <c r="Q9" i="1"/>
  <c r="Q27" i="1" s="1"/>
  <c r="L14" i="1" l="1"/>
  <c r="L16" i="1" s="1"/>
  <c r="L27" i="1"/>
  <c r="M14" i="1"/>
  <c r="M16" i="1" s="1"/>
  <c r="M27" i="1"/>
  <c r="H14" i="1"/>
  <c r="H16" i="1" s="1"/>
  <c r="H27" i="1"/>
  <c r="K14" i="1"/>
  <c r="K16" i="1" s="1"/>
  <c r="K27" i="1"/>
  <c r="R14" i="1"/>
  <c r="R16" i="1" s="1"/>
  <c r="R28" i="1" s="1"/>
  <c r="R27" i="1"/>
  <c r="G18" i="1"/>
  <c r="G28" i="1"/>
  <c r="P14" i="1"/>
  <c r="P16" i="1" s="1"/>
  <c r="P27" i="1"/>
  <c r="I14" i="1"/>
  <c r="I16" i="1" s="1"/>
  <c r="I27" i="1"/>
  <c r="N22" i="1"/>
  <c r="Q14" i="1"/>
  <c r="J9" i="1"/>
  <c r="J27" i="1" s="1"/>
  <c r="N9" i="1"/>
  <c r="N27" i="1" s="1"/>
  <c r="L18" i="1" l="1"/>
  <c r="L28" i="1"/>
  <c r="R18" i="1"/>
  <c r="R20" i="1" s="1"/>
  <c r="I18" i="1"/>
  <c r="I28" i="1"/>
  <c r="K18" i="1"/>
  <c r="K26" i="1" s="1"/>
  <c r="K28" i="1"/>
  <c r="N16" i="1"/>
  <c r="N28" i="1" s="1"/>
  <c r="H18" i="1"/>
  <c r="H28" i="1"/>
  <c r="M18" i="1"/>
  <c r="M28" i="1"/>
  <c r="P18" i="1"/>
  <c r="P20" i="1" s="1"/>
  <c r="P28" i="1"/>
  <c r="N14" i="1"/>
  <c r="Q16" i="1"/>
  <c r="Q28" i="1" s="1"/>
  <c r="J14" i="1"/>
  <c r="M26" i="1" l="1"/>
  <c r="N18" i="1"/>
  <c r="L26" i="1"/>
  <c r="Q18" i="1"/>
  <c r="J16" i="1"/>
  <c r="J28" i="1" s="1"/>
  <c r="Q20" i="1" l="1"/>
  <c r="J18" i="1"/>
  <c r="N26" i="1" s="1"/>
  <c r="Q26" i="1"/>
  <c r="R26" i="1"/>
</calcChain>
</file>

<file path=xl/sharedStrings.xml><?xml version="1.0" encoding="utf-8"?>
<sst xmlns="http://schemas.openxmlformats.org/spreadsheetml/2006/main" count="43" uniqueCount="41">
  <si>
    <t>SAAS</t>
  </si>
  <si>
    <t>Hardware</t>
  </si>
  <si>
    <t xml:space="preserve">Revenue </t>
  </si>
  <si>
    <t>COGS</t>
  </si>
  <si>
    <t>SAAS COGS</t>
  </si>
  <si>
    <t>Hardware COGS</t>
  </si>
  <si>
    <t>Gross Margin</t>
  </si>
  <si>
    <t>S&amp;M</t>
  </si>
  <si>
    <t>G&amp;A</t>
  </si>
  <si>
    <t>R&amp;D</t>
  </si>
  <si>
    <t>Operating Expenses</t>
  </si>
  <si>
    <t>Operating Income</t>
  </si>
  <si>
    <t>Other Income</t>
  </si>
  <si>
    <t>Pretax Income</t>
  </si>
  <si>
    <t>Taxes</t>
  </si>
  <si>
    <t>Net Income</t>
  </si>
  <si>
    <t>Q323</t>
  </si>
  <si>
    <t>Q223</t>
  </si>
  <si>
    <t>Q123</t>
  </si>
  <si>
    <t>Q122</t>
  </si>
  <si>
    <t>Q222</t>
  </si>
  <si>
    <t>Q322</t>
  </si>
  <si>
    <t>Q422</t>
  </si>
  <si>
    <t>Q423</t>
  </si>
  <si>
    <t>Price</t>
  </si>
  <si>
    <t>MC</t>
  </si>
  <si>
    <t>Cash</t>
  </si>
  <si>
    <t xml:space="preserve">Debt </t>
  </si>
  <si>
    <t>EV</t>
  </si>
  <si>
    <t>Shares</t>
  </si>
  <si>
    <t>Revenue Y/Y</t>
  </si>
  <si>
    <t>Net Income Y/Y</t>
  </si>
  <si>
    <t>EPS</t>
  </si>
  <si>
    <t>SAAS Y/Y</t>
  </si>
  <si>
    <t>R&amp;D Y/Y</t>
  </si>
  <si>
    <t>S&amp;M Y/Y</t>
  </si>
  <si>
    <t>Tax Rate</t>
  </si>
  <si>
    <t>Q121</t>
  </si>
  <si>
    <t>Q221</t>
  </si>
  <si>
    <t>Q321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</si>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</sst>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0" xfId="0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9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9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9525</xdr:rowOff>
    </xdr:from>
    <xdr:to>
      <xdr:col>18</xdr:col>
      <xdr:colOff>38100</xdr:colOff>
      <xdr:row>29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003698-608A-F1A4-3054-E3065888BD0E}"/>
            </a:ext>
          </a:extLst>
        </xdr:cNvPr>
        <xdr:cNvCxnSpPr/>
      </xdr:nvCxnSpPr>
      <xdr:spPr>
        <a:xfrm>
          <a:off x="9144000" y="9525"/>
          <a:ext cx="19050" cy="5076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06CC-2120-450B-B9DF-D809DF8806CF}">
  <dimension ref="D3:E8"/>
  <sheetViews>
    <sheetView workbookViewId="0">
      <selection activeCell="E9" sqref="E9"/>
    </sheetView>
  </sheetViews>
  <sheetFormatPr defaultRowHeight="15" x14ac:dyDescent="0.25"/>
  <sheetData>
    <row r="3" spans="4:5" x14ac:dyDescent="0.25">
      <c r="D3" t="s">
        <v>24</v>
      </c>
      <c r="E3">
        <v>68.28</v>
      </c>
    </row>
    <row r="4" spans="4:5" x14ac:dyDescent="0.25">
      <c r="D4" t="s">
        <v>29</v>
      </c>
      <c r="E4">
        <v>49.945</v>
      </c>
    </row>
    <row r="5" spans="4:5" x14ac:dyDescent="0.25">
      <c r="D5" t="s">
        <v>25</v>
      </c>
      <c r="E5">
        <f>E4*E3</f>
        <v>3410.2446</v>
      </c>
    </row>
    <row r="6" spans="4:5" x14ac:dyDescent="0.25">
      <c r="D6" t="s">
        <v>26</v>
      </c>
      <c r="E6">
        <f>696.983</f>
        <v>696.98299999999995</v>
      </c>
    </row>
    <row r="7" spans="4:5" x14ac:dyDescent="0.25">
      <c r="D7" t="s">
        <v>27</v>
      </c>
      <c r="E7">
        <v>0</v>
      </c>
    </row>
    <row r="8" spans="4:5" x14ac:dyDescent="0.25">
      <c r="D8" t="s">
        <v>28</v>
      </c>
      <c r="E8">
        <f>E5-E6</f>
        <v>2713.2615999999998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28"/>
  <sheetViews>
    <sheetView tabSelected="1" zoomScaleNormal="1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G26" sqref="G26"/>
    </sheetView>
  </sheetViews>
  <sheetFormatPr defaultRowHeight="15" x14ac:dyDescent="0.25"/>
  <cols>
    <col min="2" max="6" width="18" customWidth="1"/>
    <col min="7" max="12" width="9.140625" style="12"/>
    <col min="13" max="13" width="11.28515625" style="12" customWidth="1"/>
    <col min="14" max="14" width="9.140625" style="3"/>
    <col min="15" max="25" width="9.140625" style="4"/>
  </cols>
  <sheetData>
    <row r="1" spans="2:25" x14ac:dyDescent="0.25"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2:25" x14ac:dyDescent="0.25">
      <c r="C2" s="9" t="s">
        <v>37</v>
      </c>
      <c r="D2" s="9" t="s">
        <v>38</v>
      </c>
      <c r="E2" s="9" t="s">
        <v>39</v>
      </c>
      <c r="F2" s="9" t="s">
        <v>40</v>
      </c>
      <c r="G2" s="9" t="s">
        <v>19</v>
      </c>
      <c r="H2" s="9" t="s">
        <v>20</v>
      </c>
      <c r="I2" s="9" t="s">
        <v>21</v>
      </c>
      <c r="J2" s="9" t="s">
        <v>22</v>
      </c>
      <c r="K2" s="9" t="s">
        <v>18</v>
      </c>
      <c r="L2" s="9" t="s">
        <v>17</v>
      </c>
      <c r="M2" s="9" t="s">
        <v>16</v>
      </c>
      <c r="N2" s="3" t="s">
        <v>23</v>
      </c>
      <c r="O2" s="3"/>
      <c r="P2" s="3">
        <v>2021</v>
      </c>
      <c r="Q2" s="3">
        <v>2022</v>
      </c>
      <c r="R2" s="3">
        <v>2023</v>
      </c>
      <c r="S2" s="3">
        <v>2024</v>
      </c>
      <c r="T2" s="3">
        <v>2025</v>
      </c>
      <c r="U2" s="3">
        <v>2026</v>
      </c>
      <c r="V2" s="3">
        <v>2027</v>
      </c>
      <c r="W2" s="3">
        <v>2028</v>
      </c>
      <c r="X2" s="3">
        <v>2029</v>
      </c>
      <c r="Y2" s="3">
        <v>2030</v>
      </c>
    </row>
    <row r="3" spans="2:25" x14ac:dyDescent="0.25">
      <c r="B3" t="s">
        <v>0</v>
      </c>
      <c r="C3" s="12">
        <v>107.383</v>
      </c>
      <c r="D3" s="12">
        <v>113.18600000000001</v>
      </c>
      <c r="E3" s="12">
        <v>118.059</v>
      </c>
      <c r="F3" s="20">
        <f>P3-SUM(C3:E3)</f>
        <v>121.74399999999997</v>
      </c>
      <c r="G3" s="12">
        <v>123.22499999999999</v>
      </c>
      <c r="H3" s="12">
        <v>129.47499999999999</v>
      </c>
      <c r="I3" s="12">
        <v>133.126</v>
      </c>
      <c r="J3" s="12">
        <f>Q3-SUM(G3:I3)</f>
        <v>134.55099999999993</v>
      </c>
      <c r="K3" s="12">
        <v>135.39400000000001</v>
      </c>
      <c r="L3" s="12">
        <v>140.43199999999999</v>
      </c>
      <c r="M3" s="12">
        <v>145.02699999999999</v>
      </c>
      <c r="N3" s="4">
        <f>R3-SUM(K3:M3)</f>
        <v>148.34700000000004</v>
      </c>
      <c r="P3" s="4">
        <v>460.37200000000001</v>
      </c>
      <c r="Q3" s="4">
        <v>520.37699999999995</v>
      </c>
      <c r="R3" s="4">
        <v>569.20000000000005</v>
      </c>
    </row>
    <row r="4" spans="2:25" x14ac:dyDescent="0.25">
      <c r="B4" t="s">
        <v>1</v>
      </c>
      <c r="C4" s="12">
        <v>65.114999999999995</v>
      </c>
      <c r="D4" s="12">
        <v>75.760999999999996</v>
      </c>
      <c r="E4" s="12">
        <v>74.265000000000001</v>
      </c>
      <c r="F4" s="20">
        <f t="shared" ref="F4:F18" si="0">P4-SUM(C4:E4)</f>
        <v>73.456000000000017</v>
      </c>
      <c r="G4" s="12">
        <v>82.212000000000003</v>
      </c>
      <c r="H4" s="12">
        <v>83.37</v>
      </c>
      <c r="I4" s="12">
        <v>83.012</v>
      </c>
      <c r="J4" s="12">
        <f t="shared" ref="J4:J18" si="1">Q4-SUM(G4:I4)</f>
        <v>73.588000000000022</v>
      </c>
      <c r="K4" s="12">
        <v>74.322000000000003</v>
      </c>
      <c r="L4" s="12">
        <v>83.442999999999998</v>
      </c>
      <c r="M4" s="12">
        <v>76.826999999999998</v>
      </c>
      <c r="N4" s="4">
        <f>R4-SUM(K4:M4)</f>
        <v>77.890000000000043</v>
      </c>
      <c r="P4" s="4">
        <v>288.59699999999998</v>
      </c>
      <c r="Q4" s="4">
        <v>322.18200000000002</v>
      </c>
      <c r="R4" s="4">
        <v>312.48200000000003</v>
      </c>
    </row>
    <row r="5" spans="2:25" s="1" customFormat="1" x14ac:dyDescent="0.25">
      <c r="B5" s="1" t="s">
        <v>2</v>
      </c>
      <c r="C5" s="10">
        <f>C3+C4</f>
        <v>172.49799999999999</v>
      </c>
      <c r="D5" s="10">
        <f>D3+D4</f>
        <v>188.947</v>
      </c>
      <c r="E5" s="10">
        <f>E3+E4</f>
        <v>192.32400000000001</v>
      </c>
      <c r="F5" s="20">
        <f t="shared" si="0"/>
        <v>195.20000000000005</v>
      </c>
      <c r="G5" s="10">
        <f>G3+G4</f>
        <v>205.43700000000001</v>
      </c>
      <c r="H5" s="10">
        <f>H3+H4</f>
        <v>212.845</v>
      </c>
      <c r="I5" s="10">
        <f>I3+I4</f>
        <v>216.13800000000001</v>
      </c>
      <c r="J5" s="12">
        <f t="shared" si="1"/>
        <v>208.1389999999999</v>
      </c>
      <c r="K5" s="10">
        <f>K3+K4</f>
        <v>209.71600000000001</v>
      </c>
      <c r="L5" s="10">
        <f>L3+L4</f>
        <v>223.875</v>
      </c>
      <c r="M5" s="10">
        <f>M3+M4</f>
        <v>221.85399999999998</v>
      </c>
      <c r="N5" s="4">
        <f>R5-SUM(K5:M5)</f>
        <v>226.23700000000008</v>
      </c>
      <c r="O5" s="5"/>
      <c r="P5" s="5">
        <f>P3+P4</f>
        <v>748.96900000000005</v>
      </c>
      <c r="Q5" s="5">
        <f>Q3+Q4</f>
        <v>842.55899999999997</v>
      </c>
      <c r="R5" s="5">
        <f>R3+R4</f>
        <v>881.68200000000002</v>
      </c>
      <c r="S5" s="5"/>
      <c r="T5" s="5"/>
      <c r="U5" s="5"/>
      <c r="V5" s="5"/>
      <c r="W5" s="5"/>
      <c r="X5" s="5"/>
      <c r="Y5" s="5"/>
    </row>
    <row r="6" spans="2:25" x14ac:dyDescent="0.25">
      <c r="B6" t="s">
        <v>4</v>
      </c>
      <c r="C6" s="12">
        <v>15.1564</v>
      </c>
      <c r="D6" s="12">
        <v>17.201000000000001</v>
      </c>
      <c r="E6" s="12">
        <v>17.425000000000001</v>
      </c>
      <c r="F6" s="20">
        <f t="shared" si="0"/>
        <v>16.9756</v>
      </c>
      <c r="G6" s="12">
        <v>16.893999999999998</v>
      </c>
      <c r="H6" s="12">
        <v>18.687999999999999</v>
      </c>
      <c r="I6" s="12">
        <v>18.437000000000001</v>
      </c>
      <c r="J6" s="12">
        <f t="shared" si="1"/>
        <v>19.878000000000014</v>
      </c>
      <c r="K6" s="12">
        <v>19.582999999999998</v>
      </c>
      <c r="L6" s="12">
        <v>21.576000000000001</v>
      </c>
      <c r="M6" s="12">
        <v>21.917000000000002</v>
      </c>
      <c r="N6" s="4">
        <f t="shared" ref="N6:N18" si="2">R6-SUM(K6:M6)</f>
        <v>22.821999999999996</v>
      </c>
      <c r="P6" s="4">
        <v>66.757999999999996</v>
      </c>
      <c r="Q6" s="4">
        <v>73.897000000000006</v>
      </c>
      <c r="R6" s="4">
        <v>85.897999999999996</v>
      </c>
    </row>
    <row r="7" spans="2:25" x14ac:dyDescent="0.25">
      <c r="B7" t="s">
        <v>5</v>
      </c>
      <c r="C7" s="12">
        <v>50.606000000000002</v>
      </c>
      <c r="D7" s="12">
        <v>60.165999999999997</v>
      </c>
      <c r="E7" s="12">
        <v>62.959000000000003</v>
      </c>
      <c r="F7" s="20">
        <f t="shared" si="0"/>
        <v>65.41</v>
      </c>
      <c r="G7" s="12">
        <v>73.192999999999998</v>
      </c>
      <c r="H7" s="12">
        <v>68.647999999999996</v>
      </c>
      <c r="I7" s="12">
        <v>67.149000000000001</v>
      </c>
      <c r="J7" s="12">
        <f t="shared" si="1"/>
        <v>59.694000000000017</v>
      </c>
      <c r="K7" s="12">
        <v>56.588999999999999</v>
      </c>
      <c r="L7" s="12">
        <v>64.790999999999997</v>
      </c>
      <c r="M7" s="12">
        <v>59.488</v>
      </c>
      <c r="N7" s="4">
        <f t="shared" si="2"/>
        <v>58.393000000000001</v>
      </c>
      <c r="P7" s="4">
        <v>239.14099999999999</v>
      </c>
      <c r="Q7" s="4">
        <v>268.68400000000003</v>
      </c>
      <c r="R7" s="4">
        <v>239.261</v>
      </c>
    </row>
    <row r="8" spans="2:25" s="2" customFormat="1" x14ac:dyDescent="0.25">
      <c r="B8" s="2" t="s">
        <v>3</v>
      </c>
      <c r="C8" s="11">
        <f>C6+C7</f>
        <v>65.7624</v>
      </c>
      <c r="D8" s="11">
        <f>D6+D7</f>
        <v>77.36699999999999</v>
      </c>
      <c r="E8" s="11">
        <f>E6+E7</f>
        <v>80.384</v>
      </c>
      <c r="F8" s="20">
        <f t="shared" si="0"/>
        <v>82.385600000000011</v>
      </c>
      <c r="G8" s="11">
        <f>G6+G7</f>
        <v>90.086999999999989</v>
      </c>
      <c r="H8" s="11">
        <f>H6+H7</f>
        <v>87.335999999999999</v>
      </c>
      <c r="I8" s="11">
        <f>I6+I7</f>
        <v>85.585999999999999</v>
      </c>
      <c r="J8" s="11">
        <f t="shared" si="1"/>
        <v>79.572000000000003</v>
      </c>
      <c r="K8" s="11">
        <f>K6+K7</f>
        <v>76.171999999999997</v>
      </c>
      <c r="L8" s="11">
        <f>L6+L7</f>
        <v>86.36699999999999</v>
      </c>
      <c r="M8" s="11">
        <f>M6+M7</f>
        <v>81.405000000000001</v>
      </c>
      <c r="N8" s="7">
        <f t="shared" si="2"/>
        <v>81.215000000000003</v>
      </c>
      <c r="O8" s="7"/>
      <c r="P8" s="7">
        <f>P6+P7</f>
        <v>305.899</v>
      </c>
      <c r="Q8" s="7">
        <f>Q6+Q7</f>
        <v>342.58100000000002</v>
      </c>
      <c r="R8" s="7">
        <f>R6+R7</f>
        <v>325.15899999999999</v>
      </c>
      <c r="S8" s="7"/>
      <c r="T8" s="7"/>
      <c r="U8" s="7"/>
      <c r="V8" s="7"/>
      <c r="W8" s="7"/>
      <c r="X8" s="7"/>
      <c r="Y8" s="7"/>
    </row>
    <row r="9" spans="2:25" s="1" customFormat="1" x14ac:dyDescent="0.25">
      <c r="B9" s="1" t="s">
        <v>6</v>
      </c>
      <c r="C9" s="10">
        <f>C5-C8</f>
        <v>106.73559999999999</v>
      </c>
      <c r="D9" s="10">
        <f>D5-D8</f>
        <v>111.58000000000001</v>
      </c>
      <c r="E9" s="10">
        <f>E5-E8</f>
        <v>111.94000000000001</v>
      </c>
      <c r="F9" s="20">
        <f t="shared" si="0"/>
        <v>112.81440000000003</v>
      </c>
      <c r="G9" s="10">
        <f>G5-G8</f>
        <v>115.35000000000002</v>
      </c>
      <c r="H9" s="10">
        <f>H5-H8</f>
        <v>125.509</v>
      </c>
      <c r="I9" s="10">
        <f>I5-I8</f>
        <v>130.55200000000002</v>
      </c>
      <c r="J9" s="10">
        <f t="shared" si="1"/>
        <v>128.56699999999989</v>
      </c>
      <c r="K9" s="10">
        <f>K5-K8</f>
        <v>133.54400000000001</v>
      </c>
      <c r="L9" s="10">
        <f>L5-L8</f>
        <v>137.50800000000001</v>
      </c>
      <c r="M9" s="10">
        <f>M5-M8</f>
        <v>140.44899999999998</v>
      </c>
      <c r="N9" s="5">
        <f t="shared" si="2"/>
        <v>145.02200000000005</v>
      </c>
      <c r="O9" s="5"/>
      <c r="P9" s="5">
        <f>P5-P8</f>
        <v>443.07000000000005</v>
      </c>
      <c r="Q9" s="5">
        <f>Q5-Q8</f>
        <v>499.97799999999995</v>
      </c>
      <c r="R9" s="5">
        <f>R5-R8</f>
        <v>556.52300000000002</v>
      </c>
      <c r="S9" s="5"/>
      <c r="T9" s="5"/>
      <c r="U9" s="5"/>
      <c r="V9" s="5"/>
      <c r="W9" s="5"/>
      <c r="X9" s="5"/>
      <c r="Y9" s="5"/>
    </row>
    <row r="10" spans="2:25" s="2" customFormat="1" x14ac:dyDescent="0.25">
      <c r="B10" s="2" t="s">
        <v>7</v>
      </c>
      <c r="C10" s="11">
        <v>18.998999999999999</v>
      </c>
      <c r="D10" s="11">
        <v>20.529</v>
      </c>
      <c r="E10" s="11">
        <v>22.556999999999999</v>
      </c>
      <c r="F10" s="20">
        <f t="shared" si="0"/>
        <v>24.579000000000008</v>
      </c>
      <c r="G10" s="11">
        <v>23.192</v>
      </c>
      <c r="H10" s="11">
        <v>22.933</v>
      </c>
      <c r="I10" s="11">
        <v>23.056999999999999</v>
      </c>
      <c r="J10" s="12">
        <f t="shared" si="1"/>
        <v>23.566000000000003</v>
      </c>
      <c r="K10" s="11">
        <v>26.645</v>
      </c>
      <c r="L10" s="11">
        <v>23.771999999999998</v>
      </c>
      <c r="M10" s="11">
        <v>23.861000000000001</v>
      </c>
      <c r="N10" s="4">
        <f t="shared" si="2"/>
        <v>25.947999999999993</v>
      </c>
      <c r="O10" s="7"/>
      <c r="P10" s="7">
        <v>86.664000000000001</v>
      </c>
      <c r="Q10" s="7">
        <v>92.748000000000005</v>
      </c>
      <c r="R10" s="7">
        <v>100.226</v>
      </c>
      <c r="S10" s="7"/>
      <c r="T10" s="7"/>
      <c r="U10" s="7"/>
      <c r="V10" s="7"/>
      <c r="W10" s="7"/>
      <c r="X10" s="7"/>
      <c r="Y10" s="7"/>
    </row>
    <row r="11" spans="2:25" s="2" customFormat="1" x14ac:dyDescent="0.25">
      <c r="B11" s="2" t="s">
        <v>8</v>
      </c>
      <c r="C11" s="11">
        <v>22.882000000000001</v>
      </c>
      <c r="D11" s="11">
        <v>23.268000000000001</v>
      </c>
      <c r="E11" s="11">
        <v>18.689</v>
      </c>
      <c r="F11" s="20">
        <f t="shared" si="0"/>
        <v>22.567000000000007</v>
      </c>
      <c r="G11" s="11">
        <v>23.994</v>
      </c>
      <c r="H11" s="11">
        <v>29.309000000000001</v>
      </c>
      <c r="I11" s="11">
        <v>28.010999999999999</v>
      </c>
      <c r="J11" s="12">
        <f t="shared" si="1"/>
        <v>25.374000000000009</v>
      </c>
      <c r="K11" s="11">
        <v>28.498999999999999</v>
      </c>
      <c r="L11" s="11">
        <v>28.798999999999999</v>
      </c>
      <c r="M11" s="11">
        <v>31.454999999999998</v>
      </c>
      <c r="N11" s="4">
        <f t="shared" si="2"/>
        <v>24.177000000000007</v>
      </c>
      <c r="O11" s="7"/>
      <c r="P11" s="7">
        <v>87.406000000000006</v>
      </c>
      <c r="Q11" s="7">
        <v>106.688</v>
      </c>
      <c r="R11" s="7">
        <v>112.93</v>
      </c>
      <c r="S11" s="7"/>
      <c r="T11" s="7"/>
      <c r="U11" s="7"/>
      <c r="V11" s="7"/>
      <c r="W11" s="7"/>
      <c r="X11" s="7"/>
      <c r="Y11" s="7"/>
    </row>
    <row r="12" spans="2:25" s="2" customFormat="1" x14ac:dyDescent="0.25">
      <c r="B12" s="2" t="s">
        <v>9</v>
      </c>
      <c r="C12" s="11">
        <v>42.466999999999999</v>
      </c>
      <c r="D12" s="11">
        <v>43.491</v>
      </c>
      <c r="E12" s="11">
        <v>44.143000000000001</v>
      </c>
      <c r="F12" s="20">
        <f t="shared" si="0"/>
        <v>47.611999999999995</v>
      </c>
      <c r="G12" s="11">
        <v>51.49</v>
      </c>
      <c r="H12" s="11">
        <v>54.155999999999999</v>
      </c>
      <c r="I12" s="11">
        <v>55.581000000000003</v>
      </c>
      <c r="J12" s="12">
        <f t="shared" si="1"/>
        <v>57.407999999999987</v>
      </c>
      <c r="K12" s="11">
        <v>61.908000000000001</v>
      </c>
      <c r="L12" s="11">
        <v>60.917999999999999</v>
      </c>
      <c r="M12" s="11">
        <v>61.014000000000003</v>
      </c>
      <c r="N12" s="4">
        <f t="shared" si="2"/>
        <v>61.274000000000001</v>
      </c>
      <c r="O12" s="7"/>
      <c r="P12" s="7">
        <v>177.71299999999999</v>
      </c>
      <c r="Q12" s="7">
        <v>218.63499999999999</v>
      </c>
      <c r="R12" s="7">
        <v>245.114</v>
      </c>
      <c r="S12" s="7"/>
      <c r="T12" s="7"/>
      <c r="U12" s="7"/>
      <c r="V12" s="7"/>
      <c r="W12" s="7"/>
      <c r="X12" s="7"/>
      <c r="Y12" s="7"/>
    </row>
    <row r="13" spans="2:25" s="2" customFormat="1" x14ac:dyDescent="0.25">
      <c r="B13" s="2" t="s">
        <v>10</v>
      </c>
      <c r="C13" s="11">
        <f>SUM(C10:C12)</f>
        <v>84.347999999999999</v>
      </c>
      <c r="D13" s="11">
        <f>SUM(D10:D12)</f>
        <v>87.287999999999997</v>
      </c>
      <c r="E13" s="11">
        <f>SUM(E10:E12)</f>
        <v>85.388999999999996</v>
      </c>
      <c r="F13" s="20">
        <f t="shared" si="0"/>
        <v>94.758000000000038</v>
      </c>
      <c r="G13" s="11">
        <f>SUM(G10:G12)</f>
        <v>98.676000000000002</v>
      </c>
      <c r="H13" s="11">
        <f>SUM(H10:H12)</f>
        <v>106.398</v>
      </c>
      <c r="I13" s="11">
        <f>SUM(I10:I12)</f>
        <v>106.649</v>
      </c>
      <c r="J13" s="12">
        <f t="shared" si="1"/>
        <v>106.34800000000001</v>
      </c>
      <c r="K13" s="11">
        <f>SUM(K10:K12)</f>
        <v>117.05199999999999</v>
      </c>
      <c r="L13" s="11">
        <f>SUM(L10:L12)</f>
        <v>113.489</v>
      </c>
      <c r="M13" s="11">
        <f>SUM(M10:M12)</f>
        <v>116.33000000000001</v>
      </c>
      <c r="N13" s="4">
        <f t="shared" si="2"/>
        <v>111.399</v>
      </c>
      <c r="O13" s="7"/>
      <c r="P13" s="7">
        <f>SUM(P10:P12)</f>
        <v>351.78300000000002</v>
      </c>
      <c r="Q13" s="7">
        <f>SUM(Q10:Q12)</f>
        <v>418.07100000000003</v>
      </c>
      <c r="R13" s="7">
        <f>SUM(R10:R12)</f>
        <v>458.27</v>
      </c>
      <c r="S13" s="7"/>
      <c r="T13" s="7"/>
      <c r="U13" s="7"/>
      <c r="V13" s="7"/>
      <c r="W13" s="7"/>
      <c r="X13" s="7"/>
      <c r="Y13" s="7"/>
    </row>
    <row r="14" spans="2:25" s="2" customFormat="1" x14ac:dyDescent="0.25">
      <c r="B14" s="2" t="s">
        <v>11</v>
      </c>
      <c r="C14" s="11">
        <f>C9-C13</f>
        <v>22.387599999999992</v>
      </c>
      <c r="D14" s="11">
        <f>D9-D13</f>
        <v>24.292000000000016</v>
      </c>
      <c r="E14" s="11">
        <f>E9-E13</f>
        <v>26.551000000000016</v>
      </c>
      <c r="F14" s="20">
        <f t="shared" si="0"/>
        <v>18.056400000000011</v>
      </c>
      <c r="G14" s="11">
        <f>G9-G13</f>
        <v>16.674000000000021</v>
      </c>
      <c r="H14" s="11">
        <f>H9-H13</f>
        <v>19.111000000000004</v>
      </c>
      <c r="I14" s="11">
        <f>I9-I13</f>
        <v>23.90300000000002</v>
      </c>
      <c r="J14" s="12">
        <f t="shared" si="1"/>
        <v>22.21899999999988</v>
      </c>
      <c r="K14" s="11">
        <f>K9-K13</f>
        <v>16.492000000000019</v>
      </c>
      <c r="L14" s="11">
        <f>L9-L13</f>
        <v>24.019000000000005</v>
      </c>
      <c r="M14" s="11">
        <f>M9-M13</f>
        <v>24.118999999999971</v>
      </c>
      <c r="N14" s="4">
        <f t="shared" si="2"/>
        <v>33.623000000000047</v>
      </c>
      <c r="O14" s="7"/>
      <c r="P14" s="7">
        <f>P9-P13</f>
        <v>91.287000000000035</v>
      </c>
      <c r="Q14" s="7">
        <f>Q9-Q13</f>
        <v>81.906999999999925</v>
      </c>
      <c r="R14" s="7">
        <f>R9-R13</f>
        <v>98.253000000000043</v>
      </c>
      <c r="S14" s="7"/>
      <c r="T14" s="7"/>
      <c r="U14" s="7"/>
      <c r="V14" s="7"/>
      <c r="W14" s="7"/>
      <c r="X14" s="7"/>
      <c r="Y14" s="7"/>
    </row>
    <row r="15" spans="2:25" s="2" customFormat="1" x14ac:dyDescent="0.25">
      <c r="B15" s="2" t="s">
        <v>12</v>
      </c>
      <c r="C15" s="11">
        <f>+-3.368+157-155</f>
        <v>-1.367999999999995</v>
      </c>
      <c r="D15" s="11">
        <f>+-4.154+0.149+0.032</f>
        <v>-3.9729999999999999</v>
      </c>
      <c r="E15" s="11">
        <f>+-4.196+0.14+0.053</f>
        <v>-4.0030000000000001</v>
      </c>
      <c r="F15" s="20">
        <f t="shared" si="0"/>
        <v>-6.159000000000006</v>
      </c>
      <c r="G15" s="11">
        <f>+-0.784+0.143+0.13</f>
        <v>-0.51100000000000001</v>
      </c>
      <c r="H15" s="11">
        <f>+-0.785+1.016+0.105</f>
        <v>0.33599999999999997</v>
      </c>
      <c r="I15" s="11">
        <f>+-0.787+2.903-0.76</f>
        <v>1.3560000000000001</v>
      </c>
      <c r="J15" s="12">
        <f t="shared" si="1"/>
        <v>4.375</v>
      </c>
      <c r="K15" s="11">
        <f>+-0.868+5.182-0.148</f>
        <v>4.1660000000000004</v>
      </c>
      <c r="L15" s="11">
        <f>+-0.827+7.417-0.631</f>
        <v>5.9589999999999996</v>
      </c>
      <c r="M15" s="11">
        <f>+-0.906+8.493-0.435</f>
        <v>7.152000000000001</v>
      </c>
      <c r="N15" s="4">
        <f t="shared" si="2"/>
        <v>13.718999999999998</v>
      </c>
      <c r="O15" s="7"/>
      <c r="P15" s="7">
        <f>-15.956+0.587-0.134</f>
        <v>-15.503</v>
      </c>
      <c r="Q15" s="7">
        <f>-3.144+8.759-0.059</f>
        <v>5.556</v>
      </c>
      <c r="R15" s="7">
        <f>-3.429+29.801+4.624</f>
        <v>30.995999999999999</v>
      </c>
      <c r="S15" s="7"/>
      <c r="T15" s="7"/>
      <c r="U15" s="7"/>
      <c r="V15" s="7"/>
      <c r="W15" s="7"/>
      <c r="X15" s="7"/>
      <c r="Y15" s="7"/>
    </row>
    <row r="16" spans="2:25" s="2" customFormat="1" x14ac:dyDescent="0.25">
      <c r="B16" s="2" t="s">
        <v>13</v>
      </c>
      <c r="C16" s="11">
        <f>+C14+C15</f>
        <v>21.019599999999997</v>
      </c>
      <c r="D16" s="11">
        <f>+D14+D15</f>
        <v>20.319000000000017</v>
      </c>
      <c r="E16" s="11">
        <f>+E14+E15</f>
        <v>22.548000000000016</v>
      </c>
      <c r="F16" s="20">
        <f t="shared" si="0"/>
        <v>11.897400000000005</v>
      </c>
      <c r="G16" s="11">
        <f>+G14+G15</f>
        <v>16.163000000000022</v>
      </c>
      <c r="H16" s="11">
        <f>H14-H15</f>
        <v>18.775000000000006</v>
      </c>
      <c r="I16" s="11">
        <f>I14-I15</f>
        <v>22.547000000000018</v>
      </c>
      <c r="J16" s="12">
        <f t="shared" si="1"/>
        <v>29.977999999999874</v>
      </c>
      <c r="K16" s="11">
        <f>K14-K15</f>
        <v>12.326000000000018</v>
      </c>
      <c r="L16" s="11">
        <f>L14-L15</f>
        <v>18.060000000000006</v>
      </c>
      <c r="M16" s="11">
        <f>M14-M15</f>
        <v>16.96699999999997</v>
      </c>
      <c r="N16" s="4">
        <f t="shared" si="2"/>
        <v>81.896000000000058</v>
      </c>
      <c r="O16" s="7"/>
      <c r="P16" s="7">
        <f>P14+P15</f>
        <v>75.784000000000034</v>
      </c>
      <c r="Q16" s="7">
        <f>Q14+Q15</f>
        <v>87.462999999999923</v>
      </c>
      <c r="R16" s="7">
        <f>R14+R15</f>
        <v>129.24900000000005</v>
      </c>
      <c r="S16" s="7"/>
      <c r="T16" s="7"/>
      <c r="U16" s="7"/>
      <c r="V16" s="7"/>
      <c r="W16" s="7"/>
      <c r="X16" s="7"/>
      <c r="Y16" s="7"/>
    </row>
    <row r="17" spans="2:25" s="2" customFormat="1" x14ac:dyDescent="0.25">
      <c r="B17" s="2" t="s">
        <v>14</v>
      </c>
      <c r="C17" s="11">
        <v>-2.9129999999999998</v>
      </c>
      <c r="D17" s="11">
        <v>-1.738</v>
      </c>
      <c r="E17" s="11">
        <v>1.7869999999999999</v>
      </c>
      <c r="F17" s="20">
        <f t="shared" si="0"/>
        <v>-2.242</v>
      </c>
      <c r="G17" s="11">
        <v>-0.61799999999999999</v>
      </c>
      <c r="H17" s="11">
        <v>0.84399999999999997</v>
      </c>
      <c r="I17" s="11">
        <v>3.972</v>
      </c>
      <c r="J17" s="12">
        <f t="shared" si="1"/>
        <v>-3.2360000000000007</v>
      </c>
      <c r="K17" s="11">
        <v>-1.222</v>
      </c>
      <c r="L17" s="11">
        <v>6.5069999999999997</v>
      </c>
      <c r="M17" s="11">
        <v>3.972</v>
      </c>
      <c r="N17" s="4">
        <f t="shared" si="2"/>
        <v>8.2279999999999998</v>
      </c>
      <c r="O17" s="7"/>
      <c r="P17" s="7">
        <v>-5.1059999999999999</v>
      </c>
      <c r="Q17" s="7">
        <f>0.962</f>
        <v>0.96199999999999997</v>
      </c>
      <c r="R17" s="7">
        <f>17.485</f>
        <v>17.484999999999999</v>
      </c>
      <c r="S17" s="7"/>
      <c r="T17" s="7"/>
      <c r="U17" s="7"/>
      <c r="V17" s="7"/>
      <c r="W17" s="7"/>
      <c r="X17" s="7"/>
      <c r="Y17" s="7"/>
    </row>
    <row r="18" spans="2:25" s="1" customFormat="1" x14ac:dyDescent="0.25">
      <c r="B18" s="1" t="s">
        <v>15</v>
      </c>
      <c r="C18" s="10">
        <f>C16-C17</f>
        <v>23.932599999999997</v>
      </c>
      <c r="D18" s="10">
        <f>D16-D17</f>
        <v>22.057000000000016</v>
      </c>
      <c r="E18" s="10">
        <f>E16-E17</f>
        <v>20.761000000000017</v>
      </c>
      <c r="F18" s="20">
        <f t="shared" si="0"/>
        <v>14.139400000000009</v>
      </c>
      <c r="G18" s="10">
        <f>G16-G17</f>
        <v>16.78100000000002</v>
      </c>
      <c r="H18" s="10">
        <f>H16-H17</f>
        <v>17.931000000000004</v>
      </c>
      <c r="I18" s="10">
        <f>I16-I17</f>
        <v>18.575000000000017</v>
      </c>
      <c r="J18" s="10">
        <f t="shared" si="1"/>
        <v>33.213999999999878</v>
      </c>
      <c r="K18" s="10">
        <f>K16-K17</f>
        <v>13.548000000000018</v>
      </c>
      <c r="L18" s="10">
        <f>L16-L17</f>
        <v>11.553000000000006</v>
      </c>
      <c r="M18" s="10">
        <f>M16-M17</f>
        <v>12.994999999999971</v>
      </c>
      <c r="N18" s="5">
        <f t="shared" si="2"/>
        <v>73.668000000000063</v>
      </c>
      <c r="O18" s="5"/>
      <c r="P18" s="8">
        <f>P16-P17</f>
        <v>80.890000000000029</v>
      </c>
      <c r="Q18" s="8">
        <f>Q16-Q17</f>
        <v>86.50099999999992</v>
      </c>
      <c r="R18" s="8">
        <f>R16-R17</f>
        <v>111.76400000000005</v>
      </c>
      <c r="S18" s="5"/>
      <c r="T18" s="5"/>
      <c r="U18" s="5"/>
      <c r="V18" s="5"/>
      <c r="W18" s="5"/>
      <c r="X18" s="5"/>
      <c r="Y18" s="5"/>
    </row>
    <row r="19" spans="2:25" s="2" customFormat="1" x14ac:dyDescent="0.25">
      <c r="B19" s="2" t="s">
        <v>29</v>
      </c>
      <c r="G19" s="11"/>
      <c r="H19" s="11"/>
      <c r="I19" s="11"/>
      <c r="J19" s="11"/>
      <c r="K19" s="11"/>
      <c r="L19" s="11"/>
      <c r="M19" s="11"/>
      <c r="N19" s="6"/>
      <c r="O19" s="7"/>
      <c r="P19" s="7">
        <v>49.869</v>
      </c>
      <c r="Q19" s="7">
        <v>49.926000000000002</v>
      </c>
      <c r="R19" s="7">
        <v>49.817999999999998</v>
      </c>
      <c r="S19" s="7"/>
      <c r="T19" s="7"/>
      <c r="U19" s="7"/>
      <c r="V19" s="7"/>
      <c r="W19" s="7"/>
      <c r="X19" s="7"/>
      <c r="Y19" s="7"/>
    </row>
    <row r="20" spans="2:25" x14ac:dyDescent="0.25">
      <c r="B20" s="2" t="s">
        <v>32</v>
      </c>
      <c r="C20" s="2"/>
      <c r="D20" s="2"/>
      <c r="E20" s="2"/>
      <c r="F20" s="2"/>
      <c r="P20" s="4">
        <f t="shared" ref="P20:Q20" si="3">P18/P19</f>
        <v>1.6220497703984444</v>
      </c>
      <c r="Q20" s="4">
        <f t="shared" si="3"/>
        <v>1.7325842246524841</v>
      </c>
      <c r="R20" s="4">
        <f>R18/R19</f>
        <v>2.2434461439640301</v>
      </c>
    </row>
    <row r="22" spans="2:25" s="1" customFormat="1" x14ac:dyDescent="0.25">
      <c r="B22" s="1" t="s">
        <v>30</v>
      </c>
      <c r="G22" s="13">
        <f t="shared" ref="G22" si="4">G5/C5-1</f>
        <v>0.19095293858479523</v>
      </c>
      <c r="H22" s="13">
        <f t="shared" ref="H22" si="5">H5/D5-1</f>
        <v>0.12647991235637512</v>
      </c>
      <c r="I22" s="13">
        <f t="shared" ref="I22" si="6">I5/E5-1</f>
        <v>0.12382229986897109</v>
      </c>
      <c r="J22" s="13">
        <f t="shared" ref="J22" si="7">J5/F5-1</f>
        <v>6.6285860655736828E-2</v>
      </c>
      <c r="K22" s="13">
        <f t="shared" ref="K22:M22" si="8">K5/G5-1</f>
        <v>2.0828769890526067E-2</v>
      </c>
      <c r="L22" s="13">
        <f t="shared" si="8"/>
        <v>5.182174822053609E-2</v>
      </c>
      <c r="M22" s="13">
        <f t="shared" si="8"/>
        <v>2.64460668646882E-2</v>
      </c>
      <c r="N22" s="13">
        <f>N5/J5-1</f>
        <v>8.6951508367005603E-2</v>
      </c>
      <c r="O22" s="5"/>
      <c r="P22" s="5"/>
      <c r="Q22" s="14">
        <f>Q5/P5-1</f>
        <v>0.12495844287280233</v>
      </c>
      <c r="R22" s="14">
        <f>R5/Q5-1</f>
        <v>4.643354352632878E-2</v>
      </c>
      <c r="S22" s="5"/>
      <c r="T22" s="5"/>
      <c r="U22" s="5"/>
      <c r="V22" s="5"/>
      <c r="W22" s="5"/>
      <c r="X22" s="5"/>
      <c r="Y22" s="5"/>
    </row>
    <row r="23" spans="2:25" s="2" customFormat="1" x14ac:dyDescent="0.25">
      <c r="B23" s="2" t="s">
        <v>35</v>
      </c>
      <c r="G23" s="11"/>
      <c r="H23" s="11"/>
      <c r="I23" s="11"/>
      <c r="J23" s="11"/>
      <c r="K23" s="17"/>
      <c r="L23" s="17"/>
      <c r="M23" s="17"/>
      <c r="N23" s="17"/>
      <c r="O23" s="7"/>
      <c r="P23" s="7"/>
      <c r="Q23" s="18">
        <f>Q10/P10-1</f>
        <v>7.0202160066463515E-2</v>
      </c>
      <c r="R23" s="18">
        <f>R10/Q10-1</f>
        <v>8.0627075516453095E-2</v>
      </c>
      <c r="S23" s="7"/>
      <c r="T23" s="7"/>
      <c r="U23" s="7"/>
      <c r="V23" s="7"/>
      <c r="W23" s="7"/>
      <c r="X23" s="7"/>
      <c r="Y23" s="7"/>
    </row>
    <row r="24" spans="2:25" s="2" customFormat="1" x14ac:dyDescent="0.25">
      <c r="B24" s="2" t="s">
        <v>33</v>
      </c>
      <c r="G24" s="11"/>
      <c r="H24" s="11"/>
      <c r="I24" s="11"/>
      <c r="J24" s="11"/>
      <c r="K24" s="17"/>
      <c r="L24" s="17"/>
      <c r="M24" s="17"/>
      <c r="N24" s="17"/>
      <c r="O24" s="7"/>
      <c r="P24" s="7"/>
      <c r="Q24" s="18">
        <f>Q11/P11-1</f>
        <v>0.22060270461982001</v>
      </c>
      <c r="R24" s="18">
        <f>R11/Q11-1</f>
        <v>5.8507048590281885E-2</v>
      </c>
      <c r="S24" s="7"/>
      <c r="T24" s="7"/>
      <c r="U24" s="7"/>
      <c r="V24" s="7"/>
      <c r="W24" s="7"/>
      <c r="X24" s="7"/>
      <c r="Y24" s="7"/>
    </row>
    <row r="25" spans="2:25" s="2" customFormat="1" x14ac:dyDescent="0.25">
      <c r="B25" s="2" t="s">
        <v>34</v>
      </c>
      <c r="G25" s="11"/>
      <c r="H25" s="11"/>
      <c r="I25" s="11"/>
      <c r="J25" s="11"/>
      <c r="K25" s="17"/>
      <c r="L25" s="17"/>
      <c r="M25" s="17"/>
      <c r="N25" s="17"/>
      <c r="O25" s="7"/>
      <c r="P25" s="7"/>
      <c r="Q25" s="18">
        <f>Q12/P12-1</f>
        <v>0.23027015468761425</v>
      </c>
      <c r="R25" s="18">
        <f>R12/Q12-1</f>
        <v>0.12111052667688171</v>
      </c>
      <c r="S25" s="7"/>
      <c r="T25" s="7"/>
      <c r="U25" s="7"/>
      <c r="V25" s="7"/>
      <c r="W25" s="7"/>
      <c r="X25" s="7"/>
      <c r="Y25" s="7"/>
    </row>
    <row r="26" spans="2:25" x14ac:dyDescent="0.25">
      <c r="B26" t="s">
        <v>31</v>
      </c>
      <c r="G26" s="15">
        <f t="shared" ref="G26" si="9">G18/C18-1</f>
        <v>-0.29882252659552155</v>
      </c>
      <c r="H26" s="15">
        <f t="shared" ref="H26" si="10">H18/D18-1</f>
        <v>-0.18706079702588785</v>
      </c>
      <c r="I26" s="15">
        <f t="shared" ref="I26" si="11">I18/E18-1</f>
        <v>-0.10529357930735506</v>
      </c>
      <c r="J26" s="15">
        <f t="shared" ref="J26" si="12">J18/F18-1</f>
        <v>1.3490388559627604</v>
      </c>
      <c r="K26" s="15">
        <f t="shared" ref="K26:M26" si="13">K18/G18-1</f>
        <v>-0.19265836362552879</v>
      </c>
      <c r="L26" s="15">
        <f t="shared" si="13"/>
        <v>-0.35569683787853423</v>
      </c>
      <c r="M26" s="15">
        <f t="shared" si="13"/>
        <v>-0.30040376850605877</v>
      </c>
      <c r="N26" s="15">
        <f>N18/J18-1</f>
        <v>1.2179803697236204</v>
      </c>
      <c r="Q26" s="16">
        <f>Q18/P18-1</f>
        <v>6.9365805414759452E-2</v>
      </c>
      <c r="R26" s="16">
        <f>R18/Q18-1</f>
        <v>0.29205442711645135</v>
      </c>
    </row>
    <row r="27" spans="2:25" x14ac:dyDescent="0.25">
      <c r="B27" t="s">
        <v>6</v>
      </c>
      <c r="C27" s="15">
        <f t="shared" ref="C27:F27" si="14">C9/C5</f>
        <v>0.6187642755278322</v>
      </c>
      <c r="D27" s="15">
        <f t="shared" si="14"/>
        <v>0.5905359704043992</v>
      </c>
      <c r="E27" s="15">
        <f t="shared" si="14"/>
        <v>0.58203864312306319</v>
      </c>
      <c r="F27" s="15">
        <f t="shared" si="14"/>
        <v>0.57794262295081966</v>
      </c>
      <c r="G27" s="15">
        <f t="shared" ref="G27:M27" si="15">G9/G5</f>
        <v>0.5614860030082216</v>
      </c>
      <c r="H27" s="15">
        <f t="shared" si="15"/>
        <v>0.5896732363926801</v>
      </c>
      <c r="I27" s="15">
        <f t="shared" si="15"/>
        <v>0.60402150477935401</v>
      </c>
      <c r="J27" s="15">
        <f t="shared" si="15"/>
        <v>0.61769778849710988</v>
      </c>
      <c r="K27" s="15">
        <f t="shared" si="15"/>
        <v>0.63678498540883866</v>
      </c>
      <c r="L27" s="15">
        <f t="shared" si="15"/>
        <v>0.61421775544388613</v>
      </c>
      <c r="M27" s="15">
        <f t="shared" si="15"/>
        <v>0.63306949615512897</v>
      </c>
      <c r="N27" s="15">
        <f>N9/N5</f>
        <v>0.64101804744582003</v>
      </c>
      <c r="P27" s="15">
        <f>P9/P5</f>
        <v>0.59157321598090173</v>
      </c>
      <c r="Q27" s="15">
        <f>Q9/Q5</f>
        <v>0.59340414143104514</v>
      </c>
      <c r="R27" s="15">
        <f>R9/R5</f>
        <v>0.63120603573624057</v>
      </c>
    </row>
    <row r="28" spans="2:25" x14ac:dyDescent="0.25">
      <c r="B28" s="2" t="s">
        <v>36</v>
      </c>
      <c r="C28" s="19">
        <f t="shared" ref="C28:F28" si="16">C17/C16</f>
        <v>-0.13858493977049993</v>
      </c>
      <c r="D28" s="19">
        <f t="shared" si="16"/>
        <v>-8.5535705497317704E-2</v>
      </c>
      <c r="E28" s="19">
        <f t="shared" si="16"/>
        <v>7.925314883803436E-2</v>
      </c>
      <c r="F28" s="19">
        <f t="shared" si="16"/>
        <v>-0.18844453409988729</v>
      </c>
      <c r="G28" s="19">
        <f>G17/G16</f>
        <v>-3.8235476087359971E-2</v>
      </c>
      <c r="H28" s="19">
        <f t="shared" ref="H28:N28" si="17">H17/H16</f>
        <v>4.495339547270305E-2</v>
      </c>
      <c r="I28" s="19">
        <f t="shared" si="17"/>
        <v>0.17616534350467897</v>
      </c>
      <c r="J28" s="19">
        <f t="shared" si="17"/>
        <v>-0.1079458269397563</v>
      </c>
      <c r="K28" s="19">
        <f t="shared" si="17"/>
        <v>-9.9140029206555097E-2</v>
      </c>
      <c r="L28" s="19">
        <f t="shared" si="17"/>
        <v>0.360299003322259</v>
      </c>
      <c r="M28" s="19">
        <f t="shared" si="17"/>
        <v>0.23410149112984069</v>
      </c>
      <c r="N28" s="19">
        <f t="shared" si="17"/>
        <v>0.10046888736934642</v>
      </c>
      <c r="P28" s="15">
        <f t="shared" ref="P28:Q28" si="18">P17/P16</f>
        <v>-6.7375699356064578E-2</v>
      </c>
      <c r="Q28" s="15">
        <f t="shared" si="18"/>
        <v>1.099893669323029E-2</v>
      </c>
      <c r="R28" s="15">
        <f>R17/R16</f>
        <v>0.13528151088209575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bakhrom mansurov</dc:creator>
  <cp:lastModifiedBy>bakhrom mansurov</cp:lastModifiedBy>
  <dcterms:created xsi:type="dcterms:W3CDTF">2015-06-05T18:17:20Z</dcterms:created>
  <dcterms:modified xsi:type="dcterms:W3CDTF">2024-05-03T17:17:25Z</dcterms:modified>
</cp:coreProperties>
</file>