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0809ad8919981a3/Рабочий стол/Financial Modelling/"/>
    </mc:Choice>
  </mc:AlternateContent>
  <xr:revisionPtr revIDLastSave="268" documentId="11_F25DC773A252ABDACC10480A611F4EDE5ADE58F3" xr6:coauthVersionLast="47" xr6:coauthVersionMax="47" xr10:uidLastSave="{FCE77E1B-8D7B-4303-8A6D-6DF1C698F601}"/>
  <bookViews>
    <workbookView minimized="1" xWindow="390" yWindow="390" windowWidth="14010" windowHeight="7680" activeTab="1" xr2:uid="{00000000-000D-0000-FFFF-FFFF00000000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O24" i="1"/>
  <c r="P24" i="1"/>
  <c r="J24" i="1"/>
  <c r="I24" i="1"/>
  <c r="H24" i="1"/>
  <c r="G24" i="1"/>
  <c r="F24" i="1"/>
  <c r="E24" i="1"/>
  <c r="D24" i="1"/>
  <c r="C24" i="1"/>
  <c r="K24" i="1"/>
  <c r="O27" i="1"/>
  <c r="P27" i="1"/>
  <c r="P26" i="1"/>
  <c r="O26" i="1"/>
  <c r="N18" i="1"/>
  <c r="N17" i="1"/>
  <c r="N15" i="1"/>
  <c r="N14" i="1"/>
  <c r="N13" i="1"/>
  <c r="N12" i="1"/>
  <c r="N5" i="1"/>
  <c r="P18" i="1"/>
  <c r="O19" i="1"/>
  <c r="O18" i="1"/>
  <c r="P19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4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C14" i="1"/>
  <c r="C12" i="1"/>
  <c r="C5" i="1"/>
  <c r="H27" i="1"/>
  <c r="H14" i="1"/>
  <c r="H12" i="1"/>
  <c r="H5" i="1"/>
  <c r="H13" i="1" s="1"/>
  <c r="D15" i="1"/>
  <c r="D14" i="1"/>
  <c r="D12" i="1"/>
  <c r="D5" i="1"/>
  <c r="I14" i="1"/>
  <c r="I12" i="1"/>
  <c r="I5" i="1"/>
  <c r="I13" i="1" s="1"/>
  <c r="E26" i="1"/>
  <c r="E14" i="1"/>
  <c r="E12" i="1"/>
  <c r="E13" i="1" s="1"/>
  <c r="E15" i="1" s="1"/>
  <c r="E17" i="1" s="1"/>
  <c r="E18" i="1" s="1"/>
  <c r="E5" i="1"/>
  <c r="J14" i="1"/>
  <c r="J12" i="1"/>
  <c r="J5" i="1"/>
  <c r="F14" i="1"/>
  <c r="F12" i="1"/>
  <c r="F5" i="1"/>
  <c r="K27" i="1"/>
  <c r="K25" i="1"/>
  <c r="K14" i="1"/>
  <c r="K12" i="1"/>
  <c r="K5" i="1"/>
  <c r="K13" i="1" s="1"/>
  <c r="G26" i="1"/>
  <c r="G17" i="1"/>
  <c r="C13" i="1" l="1"/>
  <c r="H15" i="1"/>
  <c r="H25" i="1"/>
  <c r="D13" i="1"/>
  <c r="I15" i="1"/>
  <c r="I25" i="1"/>
  <c r="J13" i="1"/>
  <c r="J25" i="1"/>
  <c r="F13" i="1"/>
  <c r="K15" i="1"/>
  <c r="C15" i="1" l="1"/>
  <c r="H26" i="1"/>
  <c r="H17" i="1"/>
  <c r="D17" i="1"/>
  <c r="D18" i="1" s="1"/>
  <c r="D26" i="1"/>
  <c r="I26" i="1"/>
  <c r="I17" i="1"/>
  <c r="J15" i="1"/>
  <c r="J26" i="1" s="1"/>
  <c r="F15" i="1"/>
  <c r="F17" i="1" s="1"/>
  <c r="F18" i="1" s="1"/>
  <c r="K26" i="1"/>
  <c r="K17" i="1"/>
  <c r="K18" i="1" s="1"/>
  <c r="C17" i="1" l="1"/>
  <c r="C18" i="1" s="1"/>
  <c r="H18" i="1"/>
  <c r="I27" i="1"/>
  <c r="I18" i="1"/>
  <c r="J17" i="1"/>
  <c r="J27" i="1" s="1"/>
  <c r="J18" i="1" l="1"/>
  <c r="G18" i="1" l="1"/>
  <c r="G15" i="1"/>
  <c r="G14" i="1"/>
  <c r="G13" i="1"/>
  <c r="G12" i="1"/>
  <c r="G5" i="1"/>
  <c r="H11" i="2"/>
  <c r="H10" i="2"/>
  <c r="H8" i="2"/>
  <c r="H7" i="2"/>
</calcChain>
</file>

<file path=xl/sharedStrings.xml><?xml version="1.0" encoding="utf-8"?>
<sst xmlns="http://schemas.openxmlformats.org/spreadsheetml/2006/main" count="37" uniqueCount="36">
  <si>
    <t>Revenue</t>
  </si>
  <si>
    <t>Q122</t>
  </si>
  <si>
    <t>Price</t>
  </si>
  <si>
    <t>MC</t>
  </si>
  <si>
    <t>Shares</t>
  </si>
  <si>
    <t>Cash</t>
  </si>
  <si>
    <t>Debt</t>
  </si>
  <si>
    <t>EV</t>
  </si>
  <si>
    <t>Net Cash</t>
  </si>
  <si>
    <t>Q222</t>
  </si>
  <si>
    <t>Q322</t>
  </si>
  <si>
    <t>Q422</t>
  </si>
  <si>
    <t>Q123</t>
  </si>
  <si>
    <t>Q223</t>
  </si>
  <si>
    <t>Q323</t>
  </si>
  <si>
    <t>Q423</t>
  </si>
  <si>
    <t>Q124</t>
  </si>
  <si>
    <t>Products</t>
  </si>
  <si>
    <t>Services</t>
  </si>
  <si>
    <t>Cost of Sales</t>
  </si>
  <si>
    <t>Fulfillment</t>
  </si>
  <si>
    <t>Infrastructure</t>
  </si>
  <si>
    <t>S&amp;M</t>
  </si>
  <si>
    <t>G&amp;A</t>
  </si>
  <si>
    <t>Other</t>
  </si>
  <si>
    <t>COGS</t>
  </si>
  <si>
    <t>Gross Profit</t>
  </si>
  <si>
    <t>Non Operating Expences</t>
  </si>
  <si>
    <t>EBITDA</t>
  </si>
  <si>
    <t>Taxes</t>
  </si>
  <si>
    <t>Net Income</t>
  </si>
  <si>
    <t>EPS</t>
  </si>
  <si>
    <t>Gross Margin</t>
  </si>
  <si>
    <t>Revenue Y/Y</t>
  </si>
  <si>
    <t>Tax Rate</t>
  </si>
  <si>
    <t>Net Income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</si>
</sst>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2" fontId="0" fillId="0" borderId="0" xfId="0" applyNumberForma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8802-D016-420C-AA59-ED86C0353C7C}">
  <dimension ref="G1:H11"/>
  <sheetViews>
    <sheetView workbookViewId="0">
      <selection activeCell="H11" sqref="H11"/>
    </sheetView>
  </sheetViews>
  <sheetFormatPr defaultRowHeight="15" x14ac:dyDescent="0.25"/>
  <cols>
    <col min="8" max="8" width="9.140625" style="1"/>
  </cols>
  <sheetData>
    <row r="1" spans="7:8" x14ac:dyDescent="0.25">
      <c r="H1"/>
    </row>
    <row r="2" spans="7:8" x14ac:dyDescent="0.25">
      <c r="H2"/>
    </row>
    <row r="3" spans="7:8" x14ac:dyDescent="0.25">
      <c r="H3"/>
    </row>
    <row r="4" spans="7:8" x14ac:dyDescent="0.25">
      <c r="H4"/>
    </row>
    <row r="5" spans="7:8" x14ac:dyDescent="0.25">
      <c r="G5" t="s">
        <v>2</v>
      </c>
      <c r="H5" s="1">
        <v>183.62</v>
      </c>
    </row>
    <row r="6" spans="7:8" x14ac:dyDescent="0.25">
      <c r="G6" t="s">
        <v>4</v>
      </c>
      <c r="H6" s="1">
        <v>10406</v>
      </c>
    </row>
    <row r="7" spans="7:8" x14ac:dyDescent="0.25">
      <c r="G7" t="s">
        <v>3</v>
      </c>
      <c r="H7" s="1">
        <f>+H5*H6</f>
        <v>1910749.72</v>
      </c>
    </row>
    <row r="8" spans="7:8" x14ac:dyDescent="0.25">
      <c r="G8" t="s">
        <v>5</v>
      </c>
      <c r="H8" s="1">
        <f>73387+13393</f>
        <v>86780</v>
      </c>
    </row>
    <row r="9" spans="7:8" x14ac:dyDescent="0.25">
      <c r="G9" t="s">
        <v>6</v>
      </c>
      <c r="H9" s="1">
        <v>58314</v>
      </c>
    </row>
    <row r="10" spans="7:8" x14ac:dyDescent="0.25">
      <c r="G10" t="s">
        <v>7</v>
      </c>
      <c r="H10" s="1">
        <f>+H7-H8+H9</f>
        <v>1882283.72</v>
      </c>
    </row>
    <row r="11" spans="7:8" x14ac:dyDescent="0.25">
      <c r="G11" t="s">
        <v>8</v>
      </c>
      <c r="H11" s="1">
        <f>+H8-H9</f>
        <v>28466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25" sqref="P25"/>
    </sheetView>
  </sheetViews>
  <sheetFormatPr defaultRowHeight="15" x14ac:dyDescent="0.25"/>
  <cols>
    <col min="2" max="2" width="26.140625" customWidth="1"/>
    <col min="3" max="3" width="14.28515625" style="1" customWidth="1"/>
    <col min="4" max="16384" width="9.140625" style="1"/>
  </cols>
  <sheetData>
    <row r="1" spans="1:17" customFormat="1" x14ac:dyDescent="0.25"/>
    <row r="2" spans="1:17" s="2" customFormat="1" x14ac:dyDescent="0.25">
      <c r="C2" s="2" t="s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N2" s="2">
        <v>2021</v>
      </c>
      <c r="O2" s="2">
        <v>2022</v>
      </c>
      <c r="P2" s="2">
        <v>2023</v>
      </c>
      <c r="Q2" s="2">
        <v>2024</v>
      </c>
    </row>
    <row r="3" spans="1:17" x14ac:dyDescent="0.25">
      <c r="B3" t="s">
        <v>17</v>
      </c>
      <c r="C3" s="1">
        <v>56455</v>
      </c>
      <c r="D3" s="1">
        <v>56575</v>
      </c>
      <c r="E3" s="1">
        <v>59340</v>
      </c>
      <c r="F3" s="1">
        <v>70531</v>
      </c>
      <c r="G3" s="1">
        <v>56981</v>
      </c>
      <c r="H3" s="1">
        <v>59032</v>
      </c>
      <c r="I3" s="1">
        <v>63171</v>
      </c>
      <c r="J3" s="1">
        <v>76703</v>
      </c>
      <c r="K3" s="1">
        <v>60915</v>
      </c>
      <c r="N3" s="1">
        <v>241787</v>
      </c>
      <c r="O3" s="1">
        <f>SUM(C3:F3)</f>
        <v>242901</v>
      </c>
      <c r="P3" s="1">
        <f>SUM(G3:J3)</f>
        <v>255887</v>
      </c>
    </row>
    <row r="4" spans="1:17" x14ac:dyDescent="0.25">
      <c r="B4" t="s">
        <v>18</v>
      </c>
      <c r="C4" s="1">
        <v>59989</v>
      </c>
      <c r="D4" s="1">
        <v>64659</v>
      </c>
      <c r="E4" s="1">
        <v>67761</v>
      </c>
      <c r="F4" s="1">
        <v>78673</v>
      </c>
      <c r="G4" s="1">
        <v>70377</v>
      </c>
      <c r="H4" s="1">
        <v>75351</v>
      </c>
      <c r="I4" s="1">
        <v>79912</v>
      </c>
      <c r="J4" s="1">
        <v>93258</v>
      </c>
      <c r="K4" s="1">
        <v>82398</v>
      </c>
      <c r="N4" s="1">
        <v>228035</v>
      </c>
      <c r="O4" s="1">
        <f>SUM(C4:F4)</f>
        <v>271082</v>
      </c>
      <c r="P4" s="1">
        <f t="shared" ref="P4:P19" si="0">SUM(G4:J4)</f>
        <v>318898</v>
      </c>
    </row>
    <row r="5" spans="1:17" s="4" customFormat="1" x14ac:dyDescent="0.25">
      <c r="A5" s="3"/>
      <c r="B5" s="3" t="s">
        <v>0</v>
      </c>
      <c r="C5" s="4">
        <f t="shared" ref="C5:K5" si="1">SUM(C3:C4)</f>
        <v>116444</v>
      </c>
      <c r="D5" s="4">
        <f t="shared" si="1"/>
        <v>121234</v>
      </c>
      <c r="E5" s="4">
        <f t="shared" si="1"/>
        <v>127101</v>
      </c>
      <c r="F5" s="4">
        <f t="shared" si="1"/>
        <v>149204</v>
      </c>
      <c r="G5" s="4">
        <f t="shared" si="1"/>
        <v>127358</v>
      </c>
      <c r="H5" s="4">
        <f t="shared" si="1"/>
        <v>134383</v>
      </c>
      <c r="I5" s="4">
        <f t="shared" si="1"/>
        <v>143083</v>
      </c>
      <c r="J5" s="4">
        <f t="shared" si="1"/>
        <v>169961</v>
      </c>
      <c r="K5" s="4">
        <f t="shared" si="1"/>
        <v>143313</v>
      </c>
      <c r="N5" s="4">
        <f>N4+N3</f>
        <v>469822</v>
      </c>
      <c r="O5" s="1">
        <f t="shared" ref="O5:O17" si="2">SUM(C5:F5)</f>
        <v>513983</v>
      </c>
      <c r="P5" s="1">
        <f t="shared" si="0"/>
        <v>574785</v>
      </c>
    </row>
    <row r="6" spans="1:17" x14ac:dyDescent="0.25">
      <c r="B6" t="s">
        <v>19</v>
      </c>
      <c r="C6" s="1">
        <v>66499</v>
      </c>
      <c r="D6" s="1">
        <v>66424</v>
      </c>
      <c r="E6" s="1">
        <v>70268</v>
      </c>
      <c r="F6" s="1">
        <v>85640</v>
      </c>
      <c r="G6" s="1">
        <v>67791</v>
      </c>
      <c r="H6" s="1">
        <v>69373</v>
      </c>
      <c r="I6" s="1">
        <v>75022</v>
      </c>
      <c r="J6" s="1">
        <v>92553</v>
      </c>
      <c r="K6" s="1">
        <v>72633</v>
      </c>
      <c r="N6" s="1">
        <v>272344</v>
      </c>
      <c r="O6" s="1">
        <f t="shared" si="2"/>
        <v>288831</v>
      </c>
      <c r="P6" s="1">
        <f t="shared" si="0"/>
        <v>304739</v>
      </c>
    </row>
    <row r="7" spans="1:17" x14ac:dyDescent="0.25">
      <c r="B7" t="s">
        <v>20</v>
      </c>
      <c r="C7" s="1">
        <v>20271</v>
      </c>
      <c r="D7" s="1">
        <v>20342</v>
      </c>
      <c r="E7" s="1">
        <v>20583</v>
      </c>
      <c r="F7" s="1">
        <v>23103</v>
      </c>
      <c r="G7" s="1">
        <v>20905</v>
      </c>
      <c r="H7" s="1">
        <v>21305</v>
      </c>
      <c r="I7" s="1">
        <v>22314</v>
      </c>
      <c r="J7" s="1">
        <v>26095</v>
      </c>
      <c r="K7" s="1">
        <v>22317</v>
      </c>
      <c r="N7" s="1">
        <v>75111</v>
      </c>
      <c r="O7" s="1">
        <f t="shared" si="2"/>
        <v>84299</v>
      </c>
      <c r="P7" s="1">
        <f t="shared" si="0"/>
        <v>90619</v>
      </c>
    </row>
    <row r="8" spans="1:17" x14ac:dyDescent="0.25">
      <c r="B8" t="s">
        <v>21</v>
      </c>
      <c r="C8" s="1">
        <v>14842</v>
      </c>
      <c r="D8" s="1">
        <v>18072</v>
      </c>
      <c r="E8" s="1">
        <v>19485</v>
      </c>
      <c r="F8" s="1">
        <v>20814</v>
      </c>
      <c r="G8" s="1">
        <v>20450</v>
      </c>
      <c r="H8" s="1">
        <v>21931</v>
      </c>
      <c r="I8" s="1">
        <v>21203</v>
      </c>
      <c r="J8" s="1">
        <v>22038</v>
      </c>
      <c r="K8" s="1">
        <v>20424</v>
      </c>
      <c r="N8" s="1">
        <v>56052</v>
      </c>
      <c r="O8" s="1">
        <f t="shared" si="2"/>
        <v>73213</v>
      </c>
      <c r="P8" s="1">
        <f t="shared" si="0"/>
        <v>85622</v>
      </c>
    </row>
    <row r="9" spans="1:17" x14ac:dyDescent="0.25">
      <c r="B9" t="s">
        <v>22</v>
      </c>
      <c r="C9" s="1">
        <v>8320</v>
      </c>
      <c r="D9" s="1">
        <v>10086</v>
      </c>
      <c r="E9" s="1">
        <v>11014</v>
      </c>
      <c r="F9" s="1">
        <v>12818</v>
      </c>
      <c r="G9" s="1">
        <v>10172</v>
      </c>
      <c r="H9" s="1">
        <v>10745</v>
      </c>
      <c r="I9" s="1">
        <v>10551</v>
      </c>
      <c r="J9" s="1">
        <v>12902</v>
      </c>
      <c r="K9" s="1">
        <v>9662</v>
      </c>
      <c r="N9" s="1">
        <v>32551</v>
      </c>
      <c r="O9" s="1">
        <f t="shared" si="2"/>
        <v>42238</v>
      </c>
      <c r="P9" s="1">
        <f t="shared" si="0"/>
        <v>44370</v>
      </c>
    </row>
    <row r="10" spans="1:17" x14ac:dyDescent="0.25">
      <c r="B10" t="s">
        <v>23</v>
      </c>
      <c r="C10" s="1">
        <v>2594</v>
      </c>
      <c r="D10" s="1">
        <v>2903</v>
      </c>
      <c r="E10" s="1">
        <v>3061</v>
      </c>
      <c r="F10" s="1">
        <v>3333</v>
      </c>
      <c r="G10" s="1">
        <v>3043</v>
      </c>
      <c r="H10" s="1">
        <v>3202</v>
      </c>
      <c r="I10" s="1">
        <v>2561</v>
      </c>
      <c r="J10" s="1">
        <v>3010</v>
      </c>
      <c r="K10" s="1">
        <v>2742</v>
      </c>
      <c r="N10" s="1">
        <v>8823</v>
      </c>
      <c r="O10" s="1">
        <f t="shared" si="2"/>
        <v>11891</v>
      </c>
      <c r="P10" s="1">
        <f t="shared" si="0"/>
        <v>11816</v>
      </c>
    </row>
    <row r="11" spans="1:17" x14ac:dyDescent="0.25">
      <c r="B11" t="s">
        <v>24</v>
      </c>
      <c r="C11" s="1">
        <v>249</v>
      </c>
      <c r="D11" s="1">
        <v>90</v>
      </c>
      <c r="E11" s="1">
        <v>165</v>
      </c>
      <c r="F11" s="1">
        <v>759</v>
      </c>
      <c r="G11" s="1">
        <v>223</v>
      </c>
      <c r="H11" s="1">
        <v>146</v>
      </c>
      <c r="I11" s="1">
        <v>244</v>
      </c>
      <c r="J11" s="1">
        <v>154</v>
      </c>
      <c r="K11" s="1">
        <v>228</v>
      </c>
      <c r="N11" s="1">
        <v>62</v>
      </c>
      <c r="O11" s="1">
        <f t="shared" si="2"/>
        <v>1263</v>
      </c>
      <c r="P11" s="1">
        <f t="shared" si="0"/>
        <v>767</v>
      </c>
    </row>
    <row r="12" spans="1:17" x14ac:dyDescent="0.25">
      <c r="B12" t="s">
        <v>25</v>
      </c>
      <c r="C12" s="1">
        <f t="shared" ref="C12:K12" si="3">SUM(C6:C11)</f>
        <v>112775</v>
      </c>
      <c r="D12" s="1">
        <f t="shared" si="3"/>
        <v>117917</v>
      </c>
      <c r="E12" s="1">
        <f t="shared" si="3"/>
        <v>124576</v>
      </c>
      <c r="F12" s="1">
        <f t="shared" si="3"/>
        <v>146467</v>
      </c>
      <c r="G12" s="1">
        <f t="shared" si="3"/>
        <v>122584</v>
      </c>
      <c r="H12" s="1">
        <f t="shared" si="3"/>
        <v>126702</v>
      </c>
      <c r="I12" s="1">
        <f t="shared" si="3"/>
        <v>131895</v>
      </c>
      <c r="J12" s="1">
        <f t="shared" si="3"/>
        <v>156752</v>
      </c>
      <c r="K12" s="1">
        <f t="shared" si="3"/>
        <v>128006</v>
      </c>
      <c r="N12" s="1">
        <f>SUM(N6:N11)</f>
        <v>444943</v>
      </c>
      <c r="O12" s="1">
        <f t="shared" si="2"/>
        <v>501735</v>
      </c>
      <c r="P12" s="1">
        <f t="shared" si="0"/>
        <v>537933</v>
      </c>
    </row>
    <row r="13" spans="1:17" x14ac:dyDescent="0.25">
      <c r="B13" t="s">
        <v>26</v>
      </c>
      <c r="C13" s="1">
        <f t="shared" ref="C13:K13" si="4">C5-C12</f>
        <v>3669</v>
      </c>
      <c r="D13" s="1">
        <f t="shared" si="4"/>
        <v>3317</v>
      </c>
      <c r="E13" s="1">
        <f t="shared" si="4"/>
        <v>2525</v>
      </c>
      <c r="F13" s="1">
        <f t="shared" si="4"/>
        <v>2737</v>
      </c>
      <c r="G13" s="1">
        <f t="shared" si="4"/>
        <v>4774</v>
      </c>
      <c r="H13" s="1">
        <f t="shared" si="4"/>
        <v>7681</v>
      </c>
      <c r="I13" s="1">
        <f t="shared" si="4"/>
        <v>11188</v>
      </c>
      <c r="J13" s="1">
        <f t="shared" si="4"/>
        <v>13209</v>
      </c>
      <c r="K13" s="1">
        <f t="shared" si="4"/>
        <v>15307</v>
      </c>
      <c r="N13" s="1">
        <f>N5-N12</f>
        <v>24879</v>
      </c>
      <c r="O13" s="1">
        <f t="shared" si="2"/>
        <v>12248</v>
      </c>
      <c r="P13" s="1">
        <f t="shared" si="0"/>
        <v>36852</v>
      </c>
    </row>
    <row r="14" spans="1:17" x14ac:dyDescent="0.25">
      <c r="B14" t="s">
        <v>27</v>
      </c>
      <c r="C14" s="1">
        <f>108-472-8570</f>
        <v>-8934</v>
      </c>
      <c r="D14" s="1">
        <f>159-584-5545</f>
        <v>-5970</v>
      </c>
      <c r="E14" s="1">
        <f>277-617+759</f>
        <v>419</v>
      </c>
      <c r="F14" s="1">
        <f>445-694-3450</f>
        <v>-3699</v>
      </c>
      <c r="G14" s="1">
        <f>611-823-443</f>
        <v>-655</v>
      </c>
      <c r="H14" s="1">
        <f>661-840+61</f>
        <v>-118</v>
      </c>
      <c r="I14" s="1">
        <f>776-806+1031</f>
        <v>1001</v>
      </c>
      <c r="J14" s="1">
        <f>901-713+289</f>
        <v>477</v>
      </c>
      <c r="K14" s="1">
        <f>993-644-2673</f>
        <v>-2324</v>
      </c>
      <c r="N14" s="1">
        <f>448-1809+14633</f>
        <v>13272</v>
      </c>
      <c r="O14" s="1">
        <f t="shared" si="2"/>
        <v>-18184</v>
      </c>
      <c r="P14" s="1">
        <f t="shared" si="0"/>
        <v>705</v>
      </c>
    </row>
    <row r="15" spans="1:17" x14ac:dyDescent="0.25">
      <c r="B15" t="s">
        <v>28</v>
      </c>
      <c r="C15" s="1">
        <f t="shared" ref="C15:K15" si="5">C13+C14</f>
        <v>-5265</v>
      </c>
      <c r="D15" s="1">
        <f t="shared" si="5"/>
        <v>-2653</v>
      </c>
      <c r="E15" s="1">
        <f t="shared" si="5"/>
        <v>2944</v>
      </c>
      <c r="F15" s="1">
        <f t="shared" si="5"/>
        <v>-962</v>
      </c>
      <c r="G15" s="1">
        <f t="shared" si="5"/>
        <v>4119</v>
      </c>
      <c r="H15" s="1">
        <f t="shared" si="5"/>
        <v>7563</v>
      </c>
      <c r="I15" s="1">
        <f t="shared" si="5"/>
        <v>12189</v>
      </c>
      <c r="J15" s="1">
        <f t="shared" si="5"/>
        <v>13686</v>
      </c>
      <c r="K15" s="1">
        <f t="shared" si="5"/>
        <v>12983</v>
      </c>
      <c r="N15" s="1">
        <f>N13+N14</f>
        <v>38151</v>
      </c>
      <c r="O15" s="1">
        <f t="shared" si="2"/>
        <v>-5936</v>
      </c>
      <c r="P15" s="1">
        <f t="shared" si="0"/>
        <v>37557</v>
      </c>
    </row>
    <row r="16" spans="1:17" x14ac:dyDescent="0.25">
      <c r="B16" t="s">
        <v>29</v>
      </c>
      <c r="C16" s="1">
        <v>-1422</v>
      </c>
      <c r="D16" s="1">
        <v>-637</v>
      </c>
      <c r="E16" s="1">
        <v>69</v>
      </c>
      <c r="F16" s="1">
        <v>-1227</v>
      </c>
      <c r="G16" s="1">
        <v>948</v>
      </c>
      <c r="H16" s="1">
        <v>804</v>
      </c>
      <c r="I16" s="1">
        <v>2306</v>
      </c>
      <c r="J16" s="1">
        <v>3062</v>
      </c>
      <c r="K16" s="1">
        <v>2467</v>
      </c>
      <c r="N16" s="1">
        <v>4791</v>
      </c>
      <c r="O16" s="1">
        <f t="shared" si="2"/>
        <v>-3217</v>
      </c>
      <c r="P16" s="1">
        <f t="shared" si="0"/>
        <v>7120</v>
      </c>
    </row>
    <row r="17" spans="1:16" s="4" customFormat="1" x14ac:dyDescent="0.25">
      <c r="A17" s="3"/>
      <c r="B17" s="3" t="s">
        <v>30</v>
      </c>
      <c r="C17" s="4">
        <f t="shared" ref="C17:K17" si="6">C15-C16</f>
        <v>-3843</v>
      </c>
      <c r="D17" s="4">
        <f t="shared" si="6"/>
        <v>-2016</v>
      </c>
      <c r="E17" s="4">
        <f t="shared" si="6"/>
        <v>2875</v>
      </c>
      <c r="F17" s="4">
        <f t="shared" si="6"/>
        <v>265</v>
      </c>
      <c r="G17" s="4">
        <f t="shared" si="6"/>
        <v>3171</v>
      </c>
      <c r="H17" s="4">
        <f t="shared" si="6"/>
        <v>6759</v>
      </c>
      <c r="I17" s="4">
        <f t="shared" si="6"/>
        <v>9883</v>
      </c>
      <c r="J17" s="4">
        <f t="shared" si="6"/>
        <v>10624</v>
      </c>
      <c r="K17" s="4">
        <f t="shared" si="6"/>
        <v>10516</v>
      </c>
      <c r="N17" s="4">
        <f>N15-N16</f>
        <v>33360</v>
      </c>
      <c r="O17" s="1">
        <f t="shared" si="2"/>
        <v>-2719</v>
      </c>
      <c r="P17" s="1">
        <f t="shared" si="0"/>
        <v>30437</v>
      </c>
    </row>
    <row r="18" spans="1:16" x14ac:dyDescent="0.25">
      <c r="B18" t="s">
        <v>4</v>
      </c>
      <c r="C18" s="1">
        <f t="shared" ref="C18:K18" si="7">C17/C19</f>
        <v>19215</v>
      </c>
      <c r="D18" s="1">
        <f t="shared" si="7"/>
        <v>10080</v>
      </c>
      <c r="E18" s="1">
        <f t="shared" si="7"/>
        <v>10267.857142857141</v>
      </c>
      <c r="F18" s="1">
        <f t="shared" si="7"/>
        <v>8833.3333333333339</v>
      </c>
      <c r="G18" s="1">
        <f t="shared" si="7"/>
        <v>10229.032258064517</v>
      </c>
      <c r="H18" s="1">
        <f t="shared" si="7"/>
        <v>10240.90909090909</v>
      </c>
      <c r="I18" s="1">
        <f t="shared" si="7"/>
        <v>10294.791666666668</v>
      </c>
      <c r="J18" s="1">
        <f t="shared" si="7"/>
        <v>10314.563106796117</v>
      </c>
      <c r="K18" s="1">
        <f t="shared" si="7"/>
        <v>10516</v>
      </c>
      <c r="N18" s="1">
        <f>N17/N19</f>
        <v>10109.09090909091</v>
      </c>
      <c r="O18" s="1">
        <f>AVERAGE(C18:F18)</f>
        <v>12099.04761904762</v>
      </c>
      <c r="P18" s="1">
        <f>AVERAGE(D18:G18)</f>
        <v>9852.5556835637472</v>
      </c>
    </row>
    <row r="19" spans="1:16" s="5" customFormat="1" x14ac:dyDescent="0.25">
      <c r="B19" s="5" t="s">
        <v>31</v>
      </c>
      <c r="C19" s="5">
        <v>-0.2</v>
      </c>
      <c r="D19" s="5">
        <v>-0.2</v>
      </c>
      <c r="E19" s="5">
        <v>0.28000000000000003</v>
      </c>
      <c r="F19" s="5">
        <v>0.03</v>
      </c>
      <c r="G19" s="5">
        <v>0.31</v>
      </c>
      <c r="H19" s="5">
        <v>0.66</v>
      </c>
      <c r="I19" s="5">
        <v>0.96</v>
      </c>
      <c r="J19" s="5">
        <v>1.03</v>
      </c>
      <c r="K19" s="5">
        <v>1</v>
      </c>
      <c r="N19" s="5">
        <v>3.3</v>
      </c>
      <c r="O19" s="5">
        <f>O17/O18</f>
        <v>-0.2247284319899244</v>
      </c>
      <c r="P19" s="5">
        <f t="shared" si="0"/>
        <v>2.96</v>
      </c>
    </row>
    <row r="24" spans="1:16" s="6" customFormat="1" x14ac:dyDescent="0.25">
      <c r="B24" s="6" t="s">
        <v>32</v>
      </c>
      <c r="C24" s="6">
        <f t="shared" ref="C24:J24" si="8">C12/C5</f>
        <v>0.96849129195149597</v>
      </c>
      <c r="D24" s="6">
        <f t="shared" si="8"/>
        <v>0.97263968853621918</v>
      </c>
      <c r="E24" s="6">
        <f t="shared" si="8"/>
        <v>0.98013390925327104</v>
      </c>
      <c r="F24" s="6">
        <f t="shared" si="8"/>
        <v>0.98165598777512664</v>
      </c>
      <c r="G24" s="6">
        <f t="shared" si="8"/>
        <v>0.96251511487303509</v>
      </c>
      <c r="H24" s="6">
        <f t="shared" si="8"/>
        <v>0.94284247263418741</v>
      </c>
      <c r="I24" s="6">
        <f t="shared" si="8"/>
        <v>0.92180762214938183</v>
      </c>
      <c r="J24" s="6">
        <f t="shared" si="8"/>
        <v>0.9222821706156118</v>
      </c>
      <c r="K24" s="6">
        <f>K12/K5</f>
        <v>0.89319182488678628</v>
      </c>
      <c r="O24" s="6">
        <f>O12/O5</f>
        <v>0.97617041808775773</v>
      </c>
      <c r="P24" s="6">
        <f>P12/P5</f>
        <v>0.9358855920039667</v>
      </c>
    </row>
    <row r="25" spans="1:16" s="7" customFormat="1" x14ac:dyDescent="0.25">
      <c r="B25" s="7" t="s">
        <v>33</v>
      </c>
      <c r="H25" s="7">
        <f>H5/D5-1</f>
        <v>0.10845967302901816</v>
      </c>
      <c r="I25" s="7">
        <f>I5/E5-1</f>
        <v>0.125742519728405</v>
      </c>
      <c r="J25" s="7">
        <f>J5/F5-1</f>
        <v>0.13911825420230017</v>
      </c>
      <c r="K25" s="7">
        <f>K5/G5-1</f>
        <v>0.12527677884388888</v>
      </c>
      <c r="O25" s="7">
        <f>O5/N5-1</f>
        <v>9.399517263985091E-2</v>
      </c>
      <c r="P25" s="7">
        <v>0.12</v>
      </c>
    </row>
    <row r="26" spans="1:16" s="6" customFormat="1" x14ac:dyDescent="0.25">
      <c r="B26" s="6" t="s">
        <v>34</v>
      </c>
      <c r="D26" s="6">
        <f>D16/D15</f>
        <v>0.24010554089709762</v>
      </c>
      <c r="E26" s="6">
        <f>E16/E15</f>
        <v>2.34375E-2</v>
      </c>
      <c r="G26" s="6">
        <f>G16/G15</f>
        <v>0.23015294974508377</v>
      </c>
      <c r="H26" s="6">
        <f>H16/H15</f>
        <v>0.10630702102340341</v>
      </c>
      <c r="I26" s="6">
        <f>I16/I15</f>
        <v>0.18918697185987365</v>
      </c>
      <c r="J26" s="6">
        <f>J16/J15</f>
        <v>0.22373228116323249</v>
      </c>
      <c r="K26" s="6">
        <f>K16/K15</f>
        <v>0.1900177154740815</v>
      </c>
      <c r="O26" s="6">
        <f t="shared" ref="O26:P26" si="9">O16/O15</f>
        <v>0.54194743935309975</v>
      </c>
      <c r="P26" s="6">
        <f t="shared" si="9"/>
        <v>0.18957850733551668</v>
      </c>
    </row>
    <row r="27" spans="1:16" s="7" customFormat="1" x14ac:dyDescent="0.25">
      <c r="B27" s="7" t="s">
        <v>35</v>
      </c>
      <c r="H27" s="7">
        <f>H17/-(D17-1)</f>
        <v>3.3510163609320776</v>
      </c>
      <c r="I27" s="7">
        <f>I17/E17-1</f>
        <v>2.4375652173913043</v>
      </c>
      <c r="J27" s="7">
        <f>J17/F17-1</f>
        <v>39.090566037735847</v>
      </c>
      <c r="K27" s="7">
        <f>K17/G17-1</f>
        <v>2.3163040050457271</v>
      </c>
      <c r="O27" s="7">
        <f>O18/N18-1</f>
        <v>0.19684823569715659</v>
      </c>
      <c r="P27" s="7">
        <f>P17/-(O17-1)</f>
        <v>11.190073529411764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bakhrom mansurov</dc:creator>
  <cp:lastModifiedBy>bakhrom mansurov</cp:lastModifiedBy>
  <dcterms:created xsi:type="dcterms:W3CDTF">2015-06-05T18:17:20Z</dcterms:created>
  <dcterms:modified xsi:type="dcterms:W3CDTF">2024-05-18T15:05:13Z</dcterms:modified>
</cp:coreProperties>
</file>