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0809ad8919981a3/Рабочий стол/Financial Modelling/"/>
    </mc:Choice>
  </mc:AlternateContent>
  <xr:revisionPtr revIDLastSave="298" documentId="11_F25DC773A252ABDACC10480A611F4EDE5ADE58F3" xr6:coauthVersionLast="47" xr6:coauthVersionMax="47" xr10:uidLastSave="{9097579B-7C03-4453-ABAF-3BDB2DB77FAC}"/>
  <bookViews>
    <workbookView xWindow="-120" yWindow="-120" windowWidth="20730" windowHeight="11760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8" i="2" l="1"/>
  <c r="R18" i="2" s="1"/>
  <c r="P18" i="2"/>
  <c r="P27" i="2" s="1"/>
  <c r="O28" i="2"/>
  <c r="Q2" i="2"/>
  <c r="R2" i="2" s="1"/>
  <c r="S2" i="2" s="1"/>
  <c r="T2" i="2" s="1"/>
  <c r="U2" i="2" s="1"/>
  <c r="V2" i="2" s="1"/>
  <c r="W2" i="2" s="1"/>
  <c r="P2" i="2"/>
  <c r="Q5" i="2"/>
  <c r="R5" i="2" s="1"/>
  <c r="S5" i="2" s="1"/>
  <c r="T5" i="2" s="1"/>
  <c r="U5" i="2" s="1"/>
  <c r="V5" i="2" s="1"/>
  <c r="W5" i="2" s="1"/>
  <c r="P5" i="2"/>
  <c r="O27" i="2"/>
  <c r="O23" i="2"/>
  <c r="S18" i="2" l="1"/>
  <c r="R27" i="2"/>
  <c r="Q27" i="2"/>
  <c r="N26" i="2"/>
  <c r="N25" i="2"/>
  <c r="N24" i="2"/>
  <c r="O26" i="2"/>
  <c r="O25" i="2"/>
  <c r="O24" i="2"/>
  <c r="O20" i="2"/>
  <c r="O19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C15" i="2"/>
  <c r="C14" i="2"/>
  <c r="C5" i="2"/>
  <c r="C9" i="2" s="1"/>
  <c r="C13" i="2" s="1"/>
  <c r="O17" i="2"/>
  <c r="O12" i="2"/>
  <c r="O11" i="2"/>
  <c r="O10" i="2"/>
  <c r="O7" i="2"/>
  <c r="O6" i="2"/>
  <c r="O4" i="2"/>
  <c r="O3" i="2"/>
  <c r="F15" i="2"/>
  <c r="F14" i="2"/>
  <c r="F8" i="2"/>
  <c r="F5" i="2"/>
  <c r="J15" i="2"/>
  <c r="J14" i="2"/>
  <c r="J8" i="2"/>
  <c r="J5" i="2"/>
  <c r="D15" i="2"/>
  <c r="D14" i="2"/>
  <c r="D5" i="2"/>
  <c r="D9" i="2" s="1"/>
  <c r="D13" i="2" s="1"/>
  <c r="E15" i="2"/>
  <c r="E14" i="2"/>
  <c r="E5" i="2"/>
  <c r="E24" i="2" s="1"/>
  <c r="I15" i="2"/>
  <c r="I14" i="2"/>
  <c r="I8" i="2"/>
  <c r="I5" i="2"/>
  <c r="G15" i="2"/>
  <c r="G14" i="2"/>
  <c r="G8" i="2"/>
  <c r="G5" i="2"/>
  <c r="K15" i="2"/>
  <c r="K14" i="2"/>
  <c r="K8" i="2"/>
  <c r="K5" i="2"/>
  <c r="K1" i="2"/>
  <c r="J1" i="2" s="1"/>
  <c r="I1" i="2" s="1"/>
  <c r="H1" i="2" s="1"/>
  <c r="G1" i="2" s="1"/>
  <c r="F1" i="2" s="1"/>
  <c r="E1" i="2" s="1"/>
  <c r="D1" i="2" s="1"/>
  <c r="C1" i="2" s="1"/>
  <c r="H15" i="2"/>
  <c r="H14" i="2"/>
  <c r="H8" i="2"/>
  <c r="H5" i="2"/>
  <c r="L15" i="2"/>
  <c r="L14" i="2"/>
  <c r="L8" i="2"/>
  <c r="L5" i="2"/>
  <c r="G11" i="1"/>
  <c r="G10" i="1"/>
  <c r="G9" i="1"/>
  <c r="G8" i="1"/>
  <c r="G7" i="1"/>
  <c r="T18" i="2" l="1"/>
  <c r="S27" i="2"/>
  <c r="C25" i="2"/>
  <c r="C16" i="2"/>
  <c r="C24" i="2"/>
  <c r="K24" i="2"/>
  <c r="L24" i="2"/>
  <c r="H24" i="2"/>
  <c r="O5" i="2"/>
  <c r="L23" i="2"/>
  <c r="O14" i="2"/>
  <c r="O15" i="2"/>
  <c r="I23" i="2"/>
  <c r="O8" i="2"/>
  <c r="G24" i="2"/>
  <c r="L9" i="2"/>
  <c r="L13" i="2" s="1"/>
  <c r="F9" i="2"/>
  <c r="F13" i="2" s="1"/>
  <c r="F25" i="2" s="1"/>
  <c r="J23" i="2"/>
  <c r="F24" i="2"/>
  <c r="J9" i="2"/>
  <c r="J13" i="2" s="1"/>
  <c r="J16" i="2" s="1"/>
  <c r="J24" i="2"/>
  <c r="D25" i="2"/>
  <c r="D16" i="2"/>
  <c r="D24" i="2"/>
  <c r="E9" i="2"/>
  <c r="E13" i="2" s="1"/>
  <c r="E16" i="2" s="1"/>
  <c r="I9" i="2"/>
  <c r="I13" i="2" s="1"/>
  <c r="I16" i="2" s="1"/>
  <c r="I24" i="2"/>
  <c r="G9" i="2"/>
  <c r="K9" i="2"/>
  <c r="K13" i="2" s="1"/>
  <c r="K16" i="2" s="1"/>
  <c r="K23" i="2"/>
  <c r="H9" i="2"/>
  <c r="H13" i="2" s="1"/>
  <c r="U18" i="2" l="1"/>
  <c r="T27" i="2"/>
  <c r="C26" i="2"/>
  <c r="C18" i="2"/>
  <c r="C20" i="2" s="1"/>
  <c r="L25" i="2"/>
  <c r="L16" i="2"/>
  <c r="H16" i="2"/>
  <c r="H25" i="2"/>
  <c r="G13" i="2"/>
  <c r="G16" i="2" s="1"/>
  <c r="O9" i="2"/>
  <c r="F16" i="2"/>
  <c r="F26" i="2" s="1"/>
  <c r="J25" i="2"/>
  <c r="J18" i="2"/>
  <c r="J26" i="2"/>
  <c r="D26" i="2"/>
  <c r="D18" i="2"/>
  <c r="D20" i="2" s="1"/>
  <c r="E25" i="2"/>
  <c r="E26" i="2"/>
  <c r="E18" i="2"/>
  <c r="E20" i="2" s="1"/>
  <c r="I25" i="2"/>
  <c r="I26" i="2"/>
  <c r="I18" i="2"/>
  <c r="K25" i="2"/>
  <c r="K26" i="2"/>
  <c r="K18" i="2"/>
  <c r="V18" i="2" l="1"/>
  <c r="U27" i="2"/>
  <c r="I27" i="2"/>
  <c r="L18" i="2"/>
  <c r="L26" i="2"/>
  <c r="G25" i="2"/>
  <c r="O13" i="2"/>
  <c r="G26" i="2"/>
  <c r="O16" i="2"/>
  <c r="H18" i="2"/>
  <c r="H20" i="2" s="1"/>
  <c r="H26" i="2"/>
  <c r="F18" i="2"/>
  <c r="F20" i="2" s="1"/>
  <c r="J20" i="2"/>
  <c r="I20" i="2"/>
  <c r="G18" i="2"/>
  <c r="K20" i="2"/>
  <c r="W18" i="2" l="1"/>
  <c r="W27" i="2" s="1"/>
  <c r="V27" i="2"/>
  <c r="G20" i="2"/>
  <c r="O18" i="2"/>
  <c r="L20" i="2"/>
  <c r="L27" i="2"/>
  <c r="J27" i="2"/>
  <c r="K27" i="2"/>
</calcChain>
</file>

<file path=xl/sharedStrings.xml><?xml version="1.0" encoding="utf-8"?>
<sst xmlns="http://schemas.openxmlformats.org/spreadsheetml/2006/main" count="40" uniqueCount="39">
  <si>
    <t xml:space="preserve">Price </t>
  </si>
  <si>
    <t>Shares</t>
  </si>
  <si>
    <t>MC</t>
  </si>
  <si>
    <t>Cash</t>
  </si>
  <si>
    <t>Debt</t>
  </si>
  <si>
    <t>EV</t>
  </si>
  <si>
    <t>Net Cash</t>
  </si>
  <si>
    <t>Revenue</t>
  </si>
  <si>
    <t>Products</t>
  </si>
  <si>
    <t>Services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</si>
  <si>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</si>
  <si>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</si>
  <si>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</si>
  <si>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</si>
  <si>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</si>
  <si>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</si>
  <si>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</si>
  <si>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</si>
  <si>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</si>
  <si>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Products Costs</t>
  </si>
  <si>
    <t>Services Costs</t>
  </si>
  <si>
    <t>COGS</t>
  </si>
  <si>
    <t>Gross Profit</t>
  </si>
  <si>
    <t>R&amp;D</t>
  </si>
  <si>
    <t>S&amp;M</t>
  </si>
  <si>
    <t>G&amp;A</t>
  </si>
  <si>
    <t>Operating Profit</t>
  </si>
  <si>
    <t>Interest Income</t>
  </si>
  <si>
    <t>Other Income</t>
  </si>
  <si>
    <t>Pretax Income</t>
  </si>
  <si>
    <t>Taxes</t>
  </si>
  <si>
    <t>Net Income</t>
  </si>
  <si>
    <t>EPS</t>
  </si>
  <si>
    <t>Revenue YoY</t>
  </si>
  <si>
    <t>Gross Margin</t>
  </si>
  <si>
    <t>Operating Margin</t>
  </si>
  <si>
    <t>Tax Rate</t>
  </si>
  <si>
    <t>Net Income YoY</t>
  </si>
  <si>
    <t>Q224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</si>
</sst>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0" fillId="0" borderId="0" xfId="0" applyAlignment="1">
      <alignment horizontal="right"/>
    </xf>
    <xf numFmtId="2" fontId="0" fillId="0" borderId="0" xfId="0" applyNumberFormat="1"/>
    <xf numFmtId="14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3" fontId="2" fillId="0" borderId="0" xfId="0" applyNumberFormat="1" applyFont="1"/>
    <xf numFmtId="3" fontId="0" fillId="0" borderId="0" xfId="0" applyNumberFormat="1" applyAlignment="1"/>
    <xf numFmtId="3" fontId="1" fillId="0" borderId="0" xfId="0" applyNumberFormat="1" applyFont="1" applyAlignmen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66675</xdr:rowOff>
    </xdr:from>
    <xdr:to>
      <xdr:col>15</xdr:col>
      <xdr:colOff>9525</xdr:colOff>
      <xdr:row>29</xdr:row>
      <xdr:rowOff>142875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BBF6E3F-DBD7-64A4-5639-73ACDF1E4C71}"/>
            </a:ext>
          </a:extLst>
        </xdr:cNvPr>
        <xdr:cNvCxnSpPr/>
      </xdr:nvCxnSpPr>
      <xdr:spPr>
        <a:xfrm>
          <a:off x="11134725" y="66675"/>
          <a:ext cx="9525" cy="5600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G11"/>
  <sheetViews>
    <sheetView workbookViewId="0">
      <selection activeCell="G13" sqref="G13"/>
    </sheetView>
  </sheetViews>
  <sheetFormatPr defaultRowHeight="15" x14ac:dyDescent="0.25"/>
  <cols>
    <col min="7" max="7" width="9.140625" style="1"/>
  </cols>
  <sheetData>
    <row r="1" spans="6:7" x14ac:dyDescent="0.25">
      <c r="G1"/>
    </row>
    <row r="2" spans="6:7" x14ac:dyDescent="0.25">
      <c r="G2"/>
    </row>
    <row r="3" spans="6:7" x14ac:dyDescent="0.25">
      <c r="G3"/>
    </row>
    <row r="4" spans="6:7" x14ac:dyDescent="0.25">
      <c r="G4"/>
    </row>
    <row r="5" spans="6:7" x14ac:dyDescent="0.25">
      <c r="F5" t="s">
        <v>0</v>
      </c>
      <c r="G5" s="1">
        <v>46</v>
      </c>
    </row>
    <row r="6" spans="6:7" x14ac:dyDescent="0.25">
      <c r="F6" t="s">
        <v>1</v>
      </c>
      <c r="G6" s="1">
        <v>4049.1869999999999</v>
      </c>
    </row>
    <row r="7" spans="6:7" x14ac:dyDescent="0.25">
      <c r="F7" t="s">
        <v>2</v>
      </c>
      <c r="G7" s="1">
        <f>G5*G6</f>
        <v>186262.60199999998</v>
      </c>
    </row>
    <row r="8" spans="6:7" x14ac:dyDescent="0.25">
      <c r="F8" t="s">
        <v>3</v>
      </c>
      <c r="G8" s="1">
        <f>13715+11956</f>
        <v>25671</v>
      </c>
    </row>
    <row r="9" spans="6:7" x14ac:dyDescent="0.25">
      <c r="F9" t="s">
        <v>4</v>
      </c>
      <c r="G9" s="1">
        <f>4936+6669</f>
        <v>11605</v>
      </c>
    </row>
    <row r="10" spans="6:7" x14ac:dyDescent="0.25">
      <c r="F10" t="s">
        <v>5</v>
      </c>
      <c r="G10" s="1">
        <f>G7-G8+G9</f>
        <v>172196.60199999998</v>
      </c>
    </row>
    <row r="11" spans="6:7" x14ac:dyDescent="0.25">
      <c r="F11" t="s">
        <v>6</v>
      </c>
      <c r="G11" s="1">
        <f>G8-G9</f>
        <v>14066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1F8D-9A03-48B1-91CB-D925355FE36D}">
  <dimension ref="A1:W28"/>
  <sheetViews>
    <sheetView tabSelected="1" workbookViewId="0">
      <pane xSplit="2" ySplit="2" topLeftCell="J4" activePane="bottomRight" state="frozen"/>
      <selection pane="topRight" activeCell="C1" sqref="C1"/>
      <selection pane="bottomLeft" activeCell="A3" sqref="A3"/>
      <selection pane="bottomRight" activeCell="R18" sqref="R18"/>
    </sheetView>
  </sheetViews>
  <sheetFormatPr defaultRowHeight="15" x14ac:dyDescent="0.25"/>
  <cols>
    <col min="2" max="2" width="15.42578125" bestFit="1" customWidth="1"/>
    <col min="3" max="3" width="15.42578125" style="10" customWidth="1"/>
    <col min="4" max="13" width="10.7109375" style="1" bestFit="1" customWidth="1"/>
    <col min="14" max="14" width="10.7109375" style="1" customWidth="1"/>
    <col min="15" max="16384" width="9.140625" style="1"/>
  </cols>
  <sheetData>
    <row r="1" spans="1:23" s="6" customFormat="1" x14ac:dyDescent="0.25">
      <c r="C1" s="6">
        <f>+D1-90</f>
        <v>44508</v>
      </c>
      <c r="D1" s="6">
        <f>+E1-90</f>
        <v>44598</v>
      </c>
      <c r="E1" s="6">
        <f t="shared" ref="E1:J1" si="0">+F1-90</f>
        <v>44688</v>
      </c>
      <c r="F1" s="6">
        <f t="shared" si="0"/>
        <v>44778</v>
      </c>
      <c r="G1" s="6">
        <f t="shared" si="0"/>
        <v>44868</v>
      </c>
      <c r="H1" s="6">
        <f t="shared" si="0"/>
        <v>44958</v>
      </c>
      <c r="I1" s="6">
        <f t="shared" si="0"/>
        <v>45048</v>
      </c>
      <c r="J1" s="6">
        <f t="shared" si="0"/>
        <v>45138</v>
      </c>
      <c r="K1" s="6">
        <f>+L1-90</f>
        <v>45228</v>
      </c>
      <c r="L1" s="6">
        <v>45318</v>
      </c>
    </row>
    <row r="2" spans="1:23" customFormat="1" x14ac:dyDescent="0.25">
      <c r="C2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38</v>
      </c>
      <c r="N2">
        <v>2022</v>
      </c>
      <c r="O2">
        <v>2023</v>
      </c>
      <c r="P2">
        <f>+O2+1</f>
        <v>2024</v>
      </c>
      <c r="Q2">
        <f t="shared" ref="Q2:W2" si="1">+P2+1</f>
        <v>2025</v>
      </c>
      <c r="R2">
        <f t="shared" si="1"/>
        <v>2026</v>
      </c>
      <c r="S2">
        <f t="shared" si="1"/>
        <v>2027</v>
      </c>
      <c r="T2">
        <f t="shared" si="1"/>
        <v>2028</v>
      </c>
      <c r="U2">
        <f t="shared" si="1"/>
        <v>2029</v>
      </c>
      <c r="V2">
        <f t="shared" si="1"/>
        <v>2030</v>
      </c>
      <c r="W2">
        <f t="shared" si="1"/>
        <v>2031</v>
      </c>
    </row>
    <row r="3" spans="1:23" x14ac:dyDescent="0.25">
      <c r="B3" t="s">
        <v>8</v>
      </c>
      <c r="C3" s="10">
        <v>9529</v>
      </c>
      <c r="D3" s="1">
        <v>9353</v>
      </c>
      <c r="E3" s="1">
        <v>9448</v>
      </c>
      <c r="F3" s="1">
        <v>9688</v>
      </c>
      <c r="G3" s="1">
        <v>10245</v>
      </c>
      <c r="H3" s="1">
        <v>10155</v>
      </c>
      <c r="I3" s="1">
        <v>11092</v>
      </c>
      <c r="J3" s="1">
        <v>11650</v>
      </c>
      <c r="K3" s="1">
        <v>11139</v>
      </c>
      <c r="L3" s="1">
        <v>9232</v>
      </c>
      <c r="N3" s="1">
        <f>SUM(C3:F3)</f>
        <v>38018</v>
      </c>
      <c r="O3" s="9">
        <f t="shared" ref="O3:O4" si="2">SUM(G3:J3)</f>
        <v>43142</v>
      </c>
    </row>
    <row r="4" spans="1:23" x14ac:dyDescent="0.25">
      <c r="B4" t="s">
        <v>9</v>
      </c>
      <c r="C4" s="10">
        <v>3371</v>
      </c>
      <c r="D4" s="1">
        <v>3367</v>
      </c>
      <c r="E4" s="1">
        <v>3387</v>
      </c>
      <c r="F4" s="1">
        <v>3414</v>
      </c>
      <c r="G4" s="1">
        <v>3387</v>
      </c>
      <c r="H4" s="1">
        <v>3437</v>
      </c>
      <c r="I4" s="1">
        <v>3479</v>
      </c>
      <c r="J4" s="1">
        <v>3553</v>
      </c>
      <c r="K4" s="1">
        <v>3529</v>
      </c>
      <c r="L4" s="1">
        <v>3559</v>
      </c>
      <c r="N4" s="1">
        <f t="shared" ref="N4:N20" si="3">SUM(C4:F4)</f>
        <v>13539</v>
      </c>
      <c r="O4" s="9">
        <f t="shared" si="2"/>
        <v>13856</v>
      </c>
    </row>
    <row r="5" spans="1:23" s="3" customFormat="1" x14ac:dyDescent="0.25">
      <c r="A5" s="2"/>
      <c r="B5" s="2" t="s">
        <v>7</v>
      </c>
      <c r="C5" s="3">
        <f>C3+C4</f>
        <v>12900</v>
      </c>
      <c r="D5" s="3">
        <f>D3+D4</f>
        <v>12720</v>
      </c>
      <c r="E5" s="3">
        <f>E3+E4</f>
        <v>12835</v>
      </c>
      <c r="F5" s="3">
        <f>F3+F4</f>
        <v>13102</v>
      </c>
      <c r="G5" s="3">
        <f>G3+G4</f>
        <v>13632</v>
      </c>
      <c r="H5" s="3">
        <f>H3+H4</f>
        <v>13592</v>
      </c>
      <c r="I5" s="3">
        <f>I3+I4</f>
        <v>14571</v>
      </c>
      <c r="J5" s="3">
        <f>J3+J4</f>
        <v>15203</v>
      </c>
      <c r="K5" s="3">
        <f>K3+K4</f>
        <v>14668</v>
      </c>
      <c r="L5" s="3">
        <f>L3+L4</f>
        <v>12791</v>
      </c>
      <c r="N5" s="1">
        <f t="shared" si="3"/>
        <v>51557</v>
      </c>
      <c r="O5" s="3">
        <f>SUM(G5:J5)</f>
        <v>56998</v>
      </c>
      <c r="P5" s="3">
        <f>O5*1.1</f>
        <v>62697.8</v>
      </c>
      <c r="Q5" s="3">
        <f t="shared" ref="Q5:W5" si="4">P5*1.1</f>
        <v>68967.58</v>
      </c>
      <c r="R5" s="3">
        <f t="shared" si="4"/>
        <v>75864.338000000003</v>
      </c>
      <c r="S5" s="3">
        <f t="shared" si="4"/>
        <v>83450.771800000017</v>
      </c>
      <c r="T5" s="3">
        <f t="shared" si="4"/>
        <v>91795.848980000024</v>
      </c>
      <c r="U5" s="3">
        <f t="shared" si="4"/>
        <v>100975.43387800004</v>
      </c>
      <c r="V5" s="3">
        <f t="shared" si="4"/>
        <v>111072.97726580006</v>
      </c>
      <c r="W5" s="3">
        <f t="shared" si="4"/>
        <v>122180.27499238007</v>
      </c>
    </row>
    <row r="6" spans="1:23" x14ac:dyDescent="0.25">
      <c r="B6" t="s">
        <v>19</v>
      </c>
      <c r="C6" s="1">
        <v>3673</v>
      </c>
      <c r="D6" s="1">
        <v>3569</v>
      </c>
      <c r="E6" s="1">
        <v>3606</v>
      </c>
      <c r="F6" s="1">
        <v>3966</v>
      </c>
      <c r="G6" s="1">
        <v>4179</v>
      </c>
      <c r="H6" s="1">
        <v>4038</v>
      </c>
      <c r="I6" s="1">
        <v>4136</v>
      </c>
      <c r="J6" s="1">
        <v>4237</v>
      </c>
      <c r="K6" s="1">
        <v>3957</v>
      </c>
      <c r="L6" s="1">
        <v>3443</v>
      </c>
      <c r="N6" s="1">
        <f t="shared" si="3"/>
        <v>14814</v>
      </c>
      <c r="O6" s="9">
        <f t="shared" ref="O6:O20" si="5">SUM(G6:J6)</f>
        <v>16590</v>
      </c>
    </row>
    <row r="7" spans="1:23" x14ac:dyDescent="0.25">
      <c r="B7" t="s">
        <v>20</v>
      </c>
      <c r="C7" s="1">
        <v>1174</v>
      </c>
      <c r="D7" s="1">
        <v>1102</v>
      </c>
      <c r="E7" s="1">
        <v>1108</v>
      </c>
      <c r="F7" s="1">
        <v>1111</v>
      </c>
      <c r="G7" s="1">
        <v>1107</v>
      </c>
      <c r="H7" s="1">
        <v>1127</v>
      </c>
      <c r="I7" s="1">
        <v>1203</v>
      </c>
      <c r="J7" s="1">
        <v>1218</v>
      </c>
      <c r="K7" s="1">
        <v>1154</v>
      </c>
      <c r="L7" s="1">
        <v>1131</v>
      </c>
      <c r="N7" s="1">
        <f t="shared" si="3"/>
        <v>4495</v>
      </c>
      <c r="O7" s="9">
        <f t="shared" si="5"/>
        <v>4655</v>
      </c>
    </row>
    <row r="8" spans="1:23" x14ac:dyDescent="0.25">
      <c r="B8" t="s">
        <v>21</v>
      </c>
      <c r="C8" s="1">
        <v>4714</v>
      </c>
      <c r="D8" s="1">
        <v>4714</v>
      </c>
      <c r="E8" s="1">
        <v>4714</v>
      </c>
      <c r="F8" s="1">
        <f>F6+F7</f>
        <v>5077</v>
      </c>
      <c r="G8" s="1">
        <f>G6+G7</f>
        <v>5286</v>
      </c>
      <c r="H8" s="1">
        <f>H6+H7</f>
        <v>5165</v>
      </c>
      <c r="I8" s="1">
        <f>I6+I7</f>
        <v>5339</v>
      </c>
      <c r="J8" s="1">
        <f>J6+J7</f>
        <v>5455</v>
      </c>
      <c r="K8" s="1">
        <f>K6+K7</f>
        <v>5111</v>
      </c>
      <c r="L8" s="1">
        <f>L6+L7</f>
        <v>4574</v>
      </c>
      <c r="N8" s="1">
        <f t="shared" si="3"/>
        <v>19219</v>
      </c>
      <c r="O8" s="9">
        <f t="shared" si="5"/>
        <v>21245</v>
      </c>
    </row>
    <row r="9" spans="1:23" x14ac:dyDescent="0.25">
      <c r="B9" t="s">
        <v>22</v>
      </c>
      <c r="C9" s="1">
        <f>C5-C8</f>
        <v>8186</v>
      </c>
      <c r="D9" s="1">
        <f>D5-D8</f>
        <v>8006</v>
      </c>
      <c r="E9" s="1">
        <f>E5-E8</f>
        <v>8121</v>
      </c>
      <c r="F9" s="1">
        <f>F5-F8</f>
        <v>8025</v>
      </c>
      <c r="G9" s="1">
        <f>G5-G8</f>
        <v>8346</v>
      </c>
      <c r="H9" s="1">
        <f>H5-H8</f>
        <v>8427</v>
      </c>
      <c r="I9" s="1">
        <f>I5-I8</f>
        <v>9232</v>
      </c>
      <c r="J9" s="1">
        <f>J5-J8</f>
        <v>9748</v>
      </c>
      <c r="K9" s="1">
        <f>K5-K8</f>
        <v>9557</v>
      </c>
      <c r="L9" s="1">
        <f>L5-L8</f>
        <v>8217</v>
      </c>
      <c r="N9" s="1">
        <f t="shared" si="3"/>
        <v>32338</v>
      </c>
      <c r="O9" s="9">
        <f t="shared" si="5"/>
        <v>35753</v>
      </c>
    </row>
    <row r="10" spans="1:23" x14ac:dyDescent="0.25">
      <c r="B10" t="s">
        <v>23</v>
      </c>
      <c r="C10" s="1">
        <v>1714</v>
      </c>
      <c r="D10" s="1">
        <v>1670</v>
      </c>
      <c r="E10" s="1">
        <v>1708</v>
      </c>
      <c r="F10" s="1">
        <v>1682</v>
      </c>
      <c r="G10" s="1">
        <v>1781</v>
      </c>
      <c r="H10" s="1">
        <v>1855</v>
      </c>
      <c r="I10" s="1">
        <v>1962</v>
      </c>
      <c r="J10" s="1">
        <v>1953</v>
      </c>
      <c r="K10" s="1">
        <v>1913</v>
      </c>
      <c r="L10" s="1">
        <v>1943</v>
      </c>
      <c r="N10" s="1">
        <f t="shared" si="3"/>
        <v>6774</v>
      </c>
      <c r="O10" s="9">
        <f t="shared" si="5"/>
        <v>7551</v>
      </c>
    </row>
    <row r="11" spans="1:23" x14ac:dyDescent="0.25">
      <c r="B11" t="s">
        <v>24</v>
      </c>
      <c r="C11" s="1">
        <v>2261</v>
      </c>
      <c r="D11" s="1">
        <v>2266</v>
      </c>
      <c r="E11" s="1">
        <v>2209</v>
      </c>
      <c r="F11" s="1">
        <v>2349</v>
      </c>
      <c r="G11" s="1">
        <v>2391</v>
      </c>
      <c r="H11" s="1">
        <v>2384</v>
      </c>
      <c r="I11" s="1">
        <v>2526</v>
      </c>
      <c r="J11" s="1">
        <v>2579</v>
      </c>
      <c r="K11" s="1">
        <v>2506</v>
      </c>
      <c r="L11" s="1">
        <v>2458</v>
      </c>
      <c r="N11" s="1">
        <f t="shared" si="3"/>
        <v>9085</v>
      </c>
      <c r="O11" s="9">
        <f t="shared" si="5"/>
        <v>9880</v>
      </c>
    </row>
    <row r="12" spans="1:23" x14ac:dyDescent="0.25">
      <c r="B12" t="s">
        <v>25</v>
      </c>
      <c r="C12" s="1">
        <v>551</v>
      </c>
      <c r="D12" s="1">
        <v>544</v>
      </c>
      <c r="E12" s="1">
        <v>517</v>
      </c>
      <c r="F12" s="1">
        <v>489</v>
      </c>
      <c r="G12" s="1">
        <v>565</v>
      </c>
      <c r="H12" s="1">
        <v>582</v>
      </c>
      <c r="I12" s="1">
        <v>641</v>
      </c>
      <c r="J12" s="1">
        <v>690</v>
      </c>
      <c r="K12" s="1">
        <v>672</v>
      </c>
      <c r="L12" s="1">
        <v>642</v>
      </c>
      <c r="N12" s="1">
        <f t="shared" si="3"/>
        <v>2101</v>
      </c>
      <c r="O12" s="9">
        <f t="shared" si="5"/>
        <v>2478</v>
      </c>
    </row>
    <row r="13" spans="1:23" x14ac:dyDescent="0.25">
      <c r="B13" t="s">
        <v>26</v>
      </c>
      <c r="C13" s="1">
        <f>C9-C10-C11-C12</f>
        <v>3660</v>
      </c>
      <c r="D13" s="1">
        <f>D9-D10-D11-D12</f>
        <v>3526</v>
      </c>
      <c r="E13" s="1">
        <f>E9-E10-E11-E12</f>
        <v>3687</v>
      </c>
      <c r="F13" s="1">
        <f>F9-F10-F11-F12</f>
        <v>3505</v>
      </c>
      <c r="G13" s="1">
        <f>G9-G10-G11-G12</f>
        <v>3609</v>
      </c>
      <c r="H13" s="1">
        <f>H9-H10-H11-H12</f>
        <v>3606</v>
      </c>
      <c r="I13" s="1">
        <f>I9-I10-I11-I12</f>
        <v>4103</v>
      </c>
      <c r="J13" s="1">
        <f>J9-J10-J11-J12</f>
        <v>4526</v>
      </c>
      <c r="K13" s="1">
        <f>K9-K10-K11-K12</f>
        <v>4466</v>
      </c>
      <c r="L13" s="1">
        <f>L9-L10-L11-L12</f>
        <v>3174</v>
      </c>
      <c r="N13" s="1">
        <f t="shared" si="3"/>
        <v>14378</v>
      </c>
      <c r="O13" s="9">
        <f t="shared" si="5"/>
        <v>15844</v>
      </c>
    </row>
    <row r="14" spans="1:23" x14ac:dyDescent="0.25">
      <c r="B14" t="s">
        <v>27</v>
      </c>
      <c r="C14" s="1">
        <f>121-89</f>
        <v>32</v>
      </c>
      <c r="D14" s="1">
        <f>111-88</f>
        <v>23</v>
      </c>
      <c r="E14" s="1">
        <f>115-90</f>
        <v>25</v>
      </c>
      <c r="F14" s="1">
        <f>129-93</f>
        <v>36</v>
      </c>
      <c r="G14" s="1">
        <f>169-100</f>
        <v>69</v>
      </c>
      <c r="H14" s="1">
        <f>219-107</f>
        <v>112</v>
      </c>
      <c r="I14" s="1">
        <f>262-109</f>
        <v>153</v>
      </c>
      <c r="J14" s="1">
        <f>312-111</f>
        <v>201</v>
      </c>
      <c r="K14" s="1">
        <f>360-111</f>
        <v>249</v>
      </c>
      <c r="L14" s="1">
        <f>324-120</f>
        <v>204</v>
      </c>
      <c r="N14" s="1">
        <f t="shared" si="3"/>
        <v>116</v>
      </c>
      <c r="O14" s="9">
        <f t="shared" si="5"/>
        <v>535</v>
      </c>
    </row>
    <row r="15" spans="1:23" x14ac:dyDescent="0.25">
      <c r="B15" t="s">
        <v>28</v>
      </c>
      <c r="C15" s="1">
        <f>187+219</f>
        <v>406</v>
      </c>
      <c r="D15" s="1">
        <f>93+116</f>
        <v>209</v>
      </c>
      <c r="E15" s="1">
        <f>166+191</f>
        <v>357</v>
      </c>
      <c r="F15" s="1">
        <f>-54-18</f>
        <v>-72</v>
      </c>
      <c r="G15" s="1">
        <f>+-134-65</f>
        <v>-199</v>
      </c>
      <c r="H15" s="1">
        <f>11+123</f>
        <v>134</v>
      </c>
      <c r="I15" s="1">
        <f>-142+11</f>
        <v>-131</v>
      </c>
      <c r="J15" s="1">
        <f>17+218</f>
        <v>235</v>
      </c>
      <c r="K15" s="1">
        <f>+-83+166</f>
        <v>83</v>
      </c>
      <c r="L15" s="1">
        <f>-139+65</f>
        <v>-74</v>
      </c>
      <c r="N15" s="1">
        <f t="shared" si="3"/>
        <v>900</v>
      </c>
      <c r="O15" s="9">
        <f t="shared" si="5"/>
        <v>39</v>
      </c>
    </row>
    <row r="16" spans="1:23" x14ac:dyDescent="0.25">
      <c r="B16" t="s">
        <v>29</v>
      </c>
      <c r="C16" s="1">
        <f>C13+C14+C15</f>
        <v>4098</v>
      </c>
      <c r="D16" s="1">
        <f>D13+D14+D15</f>
        <v>3758</v>
      </c>
      <c r="E16" s="1">
        <f>E13+E14+E15</f>
        <v>4069</v>
      </c>
      <c r="F16" s="1">
        <f>F13+F14+F15</f>
        <v>3469</v>
      </c>
      <c r="G16" s="1">
        <f>G13+G14+G15</f>
        <v>3479</v>
      </c>
      <c r="H16" s="1">
        <f>H13+H14+H15</f>
        <v>3852</v>
      </c>
      <c r="I16" s="1">
        <f>I13+I14+I15</f>
        <v>4125</v>
      </c>
      <c r="J16" s="1">
        <f>J13+J14+J15</f>
        <v>4962</v>
      </c>
      <c r="K16" s="1">
        <f>K13+K14+K15</f>
        <v>4798</v>
      </c>
      <c r="L16" s="1">
        <f>L13+L14+L15</f>
        <v>3304</v>
      </c>
      <c r="N16" s="1">
        <f t="shared" si="3"/>
        <v>15394</v>
      </c>
      <c r="O16" s="9">
        <f t="shared" si="5"/>
        <v>16418</v>
      </c>
    </row>
    <row r="17" spans="1:23" x14ac:dyDescent="0.25">
      <c r="B17" t="s">
        <v>30</v>
      </c>
      <c r="C17" s="1">
        <v>677</v>
      </c>
      <c r="D17" s="1">
        <v>630</v>
      </c>
      <c r="E17" s="1">
        <v>757</v>
      </c>
      <c r="F17" s="1">
        <v>601</v>
      </c>
      <c r="G17" s="1">
        <v>805</v>
      </c>
      <c r="H17" s="1">
        <v>642</v>
      </c>
      <c r="I17" s="1">
        <v>745</v>
      </c>
      <c r="J17" s="1">
        <v>513</v>
      </c>
      <c r="K17" s="1">
        <v>804</v>
      </c>
      <c r="L17" s="1">
        <v>527</v>
      </c>
      <c r="N17" s="1">
        <f t="shared" si="3"/>
        <v>2665</v>
      </c>
      <c r="O17" s="9">
        <f t="shared" si="5"/>
        <v>2705</v>
      </c>
    </row>
    <row r="18" spans="1:23" s="3" customFormat="1" x14ac:dyDescent="0.25">
      <c r="A18" s="2"/>
      <c r="B18" s="2" t="s">
        <v>31</v>
      </c>
      <c r="C18" s="3">
        <f>+C16-C17</f>
        <v>3421</v>
      </c>
      <c r="D18" s="3">
        <f>+D16-D17</f>
        <v>3128</v>
      </c>
      <c r="E18" s="3">
        <f>+E16-E17</f>
        <v>3312</v>
      </c>
      <c r="F18" s="3">
        <f>+F16-F17</f>
        <v>2868</v>
      </c>
      <c r="G18" s="3">
        <f>+G16-G17</f>
        <v>2674</v>
      </c>
      <c r="H18" s="3">
        <f>+H16-H17</f>
        <v>3210</v>
      </c>
      <c r="I18" s="3">
        <f>+I16-I17</f>
        <v>3380</v>
      </c>
      <c r="J18" s="3">
        <f>+J16-J17</f>
        <v>4449</v>
      </c>
      <c r="K18" s="3">
        <f>+K16-K17</f>
        <v>3994</v>
      </c>
      <c r="L18" s="3">
        <f>+L16-L17</f>
        <v>2777</v>
      </c>
      <c r="N18" s="1">
        <f t="shared" si="3"/>
        <v>12729</v>
      </c>
      <c r="O18" s="3">
        <f t="shared" si="5"/>
        <v>13713</v>
      </c>
      <c r="P18" s="3">
        <f>+O18*1.1</f>
        <v>15084.300000000001</v>
      </c>
      <c r="Q18" s="3">
        <f t="shared" ref="Q18:W18" si="6">+P18*1.1</f>
        <v>16592.730000000003</v>
      </c>
      <c r="R18" s="3">
        <f t="shared" si="6"/>
        <v>18252.003000000004</v>
      </c>
      <c r="S18" s="3">
        <f t="shared" si="6"/>
        <v>20077.203300000005</v>
      </c>
      <c r="T18" s="3">
        <f t="shared" si="6"/>
        <v>22084.923630000008</v>
      </c>
      <c r="U18" s="3">
        <f t="shared" si="6"/>
        <v>24293.41599300001</v>
      </c>
      <c r="V18" s="3">
        <f t="shared" si="6"/>
        <v>26722.757592300011</v>
      </c>
      <c r="W18" s="3">
        <f t="shared" si="6"/>
        <v>29395.033351530015</v>
      </c>
    </row>
    <row r="19" spans="1:23" x14ac:dyDescent="0.25">
      <c r="B19" t="s">
        <v>1</v>
      </c>
      <c r="C19" s="1">
        <v>4218</v>
      </c>
      <c r="D19" s="1">
        <v>4183</v>
      </c>
      <c r="E19" s="1">
        <v>4152</v>
      </c>
      <c r="F19" s="1">
        <v>4128</v>
      </c>
      <c r="G19" s="1">
        <v>4108</v>
      </c>
      <c r="H19" s="1">
        <v>4103</v>
      </c>
      <c r="I19" s="1">
        <v>4089</v>
      </c>
      <c r="J19" s="1">
        <v>4071</v>
      </c>
      <c r="K19" s="1">
        <v>4057</v>
      </c>
      <c r="L19" s="1">
        <v>4055</v>
      </c>
      <c r="N19" s="1">
        <f>AVERAGE(C19:F19)</f>
        <v>4170.25</v>
      </c>
      <c r="O19" s="1">
        <f>AVERAGE(D19:G19)</f>
        <v>4142.75</v>
      </c>
    </row>
    <row r="20" spans="1:23" s="5" customFormat="1" x14ac:dyDescent="0.25">
      <c r="B20" s="5" t="s">
        <v>32</v>
      </c>
      <c r="C20" s="5">
        <f>+C18/C19</f>
        <v>0.81104788999525845</v>
      </c>
      <c r="D20" s="5">
        <f>+D18/D19</f>
        <v>0.74778866841979441</v>
      </c>
      <c r="E20" s="5">
        <f>+E18/E19</f>
        <v>0.79768786127167635</v>
      </c>
      <c r="F20" s="5">
        <f>+F18/F19</f>
        <v>0.69476744186046513</v>
      </c>
      <c r="G20" s="5">
        <f>+G18/G19</f>
        <v>0.65092502434274591</v>
      </c>
      <c r="H20" s="5">
        <f>+H18/H19</f>
        <v>0.78235437484767245</v>
      </c>
      <c r="I20" s="5">
        <f>+I18/I19</f>
        <v>0.82660797260943997</v>
      </c>
      <c r="J20" s="5">
        <f>+J18/J19</f>
        <v>1.0928518791451731</v>
      </c>
      <c r="K20" s="5">
        <f>+K18/K19</f>
        <v>0.98447128420014784</v>
      </c>
      <c r="L20" s="5">
        <f>+L18/L19</f>
        <v>0.68483353884093712</v>
      </c>
      <c r="N20" s="12">
        <f t="shared" si="3"/>
        <v>3.0512918615471945</v>
      </c>
      <c r="O20" s="13">
        <f t="shared" si="5"/>
        <v>3.3527392509450316</v>
      </c>
    </row>
    <row r="21" spans="1:23" x14ac:dyDescent="0.25">
      <c r="C21" s="1"/>
    </row>
    <row r="22" spans="1:23" x14ac:dyDescent="0.25">
      <c r="C22" s="1"/>
    </row>
    <row r="23" spans="1:23" s="3" customFormat="1" x14ac:dyDescent="0.25">
      <c r="A23" s="2"/>
      <c r="B23" s="2" t="s">
        <v>33</v>
      </c>
      <c r="I23" s="8">
        <f>+I5/E5-1</f>
        <v>0.13525516166731588</v>
      </c>
      <c r="J23" s="8">
        <f>+J5/F5-1</f>
        <v>0.16035719737444665</v>
      </c>
      <c r="K23" s="8">
        <f>+K5/G5-1</f>
        <v>7.5997652582159514E-2</v>
      </c>
      <c r="L23" s="8">
        <f>+L5/H5-1</f>
        <v>-5.8931724543849318E-2</v>
      </c>
      <c r="O23" s="8">
        <f>O5/N5-1</f>
        <v>0.10553368116841555</v>
      </c>
    </row>
    <row r="24" spans="1:23" x14ac:dyDescent="0.25">
      <c r="B24" t="s">
        <v>34</v>
      </c>
      <c r="C24" s="7">
        <f>C8/C5</f>
        <v>0.36542635658914729</v>
      </c>
      <c r="D24" s="7">
        <f>D8/D5</f>
        <v>0.37059748427672956</v>
      </c>
      <c r="E24" s="7">
        <f>E8/E5</f>
        <v>0.36727697701597195</v>
      </c>
      <c r="F24" s="7">
        <f>F8/F5</f>
        <v>0.38749809189436729</v>
      </c>
      <c r="G24" s="7">
        <f>G8/G5</f>
        <v>0.38776408450704225</v>
      </c>
      <c r="H24" s="7">
        <f>H8/H5</f>
        <v>0.38000294290759268</v>
      </c>
      <c r="I24" s="7">
        <f>I8/I5</f>
        <v>0.36641273762953813</v>
      </c>
      <c r="J24" s="7">
        <f>J8/J5</f>
        <v>0.35881076103400644</v>
      </c>
      <c r="K24" s="7">
        <f>K8/K5</f>
        <v>0.3484455958549223</v>
      </c>
      <c r="L24" s="7">
        <f>L8/L5</f>
        <v>0.35759518411383001</v>
      </c>
      <c r="N24" s="7">
        <f>N8/N5</f>
        <v>0.37277188354636615</v>
      </c>
      <c r="O24" s="7">
        <f>O8/O5</f>
        <v>0.37273237657461666</v>
      </c>
    </row>
    <row r="25" spans="1:23" x14ac:dyDescent="0.25">
      <c r="B25" t="s">
        <v>35</v>
      </c>
      <c r="C25" s="7">
        <f>+C13/C5</f>
        <v>0.28372093023255812</v>
      </c>
      <c r="D25" s="7">
        <f>+D13/D5</f>
        <v>0.27720125786163524</v>
      </c>
      <c r="E25" s="7">
        <f>+E13/E5</f>
        <v>0.2872613946240748</v>
      </c>
      <c r="F25" s="7">
        <f>+F13/F5</f>
        <v>0.26751640970844148</v>
      </c>
      <c r="G25" s="7">
        <f>+G13/G5</f>
        <v>0.26474471830985913</v>
      </c>
      <c r="H25" s="7">
        <f>+H13/H5</f>
        <v>0.26530311948204827</v>
      </c>
      <c r="I25" s="7">
        <f>+I13/I5</f>
        <v>0.28158671333470592</v>
      </c>
      <c r="J25" s="7">
        <f>+J13/J5</f>
        <v>0.29770440044728014</v>
      </c>
      <c r="K25" s="7">
        <f>+K13/K5</f>
        <v>0.30447232069811836</v>
      </c>
      <c r="L25" s="7">
        <f>+L13/L5</f>
        <v>0.24814322570557423</v>
      </c>
      <c r="N25" s="7">
        <f>+N13/N5</f>
        <v>0.27887580735884554</v>
      </c>
      <c r="O25" s="7">
        <f>+O13/O5</f>
        <v>0.2779746657777466</v>
      </c>
    </row>
    <row r="26" spans="1:23" x14ac:dyDescent="0.25">
      <c r="B26" t="s">
        <v>36</v>
      </c>
      <c r="C26" s="7">
        <f>C17/C16</f>
        <v>0.16520253782332844</v>
      </c>
      <c r="D26" s="7">
        <f>D17/D16</f>
        <v>0.16764236295902077</v>
      </c>
      <c r="E26" s="7">
        <f>E17/E16</f>
        <v>0.18604079626443842</v>
      </c>
      <c r="F26" s="7">
        <f>F17/F16</f>
        <v>0.17324877486307294</v>
      </c>
      <c r="G26" s="7">
        <f>G17/G16</f>
        <v>0.23138832997987926</v>
      </c>
      <c r="H26" s="7">
        <f>H17/H16</f>
        <v>0.16666666666666666</v>
      </c>
      <c r="I26" s="7">
        <f>I17/I16</f>
        <v>0.1806060606060606</v>
      </c>
      <c r="J26" s="7">
        <f>J17/J16</f>
        <v>0.10338573155985489</v>
      </c>
      <c r="K26" s="7">
        <f>K17/K16</f>
        <v>0.16756982075864943</v>
      </c>
      <c r="L26" s="7">
        <f>L17/L16</f>
        <v>0.15950363196125908</v>
      </c>
      <c r="N26" s="7">
        <f>N17/N16</f>
        <v>0.17311939716772767</v>
      </c>
      <c r="O26" s="7">
        <f>O17/O16</f>
        <v>0.16475819222804239</v>
      </c>
    </row>
    <row r="27" spans="1:23" s="3" customFormat="1" x14ac:dyDescent="0.25">
      <c r="A27" s="2"/>
      <c r="B27" s="2" t="s">
        <v>37</v>
      </c>
      <c r="C27" s="11"/>
      <c r="I27" s="8">
        <f>I18/E18-1</f>
        <v>2.0531400966183666E-2</v>
      </c>
      <c r="J27" s="8">
        <f>J18/F18-1</f>
        <v>0.55125523012552291</v>
      </c>
      <c r="K27" s="8">
        <f>K18/G18-1</f>
        <v>0.4936424831712789</v>
      </c>
      <c r="L27" s="8">
        <f>L18/H18-1</f>
        <v>-0.13489096573208725</v>
      </c>
      <c r="O27" s="8">
        <f>O18/N18-1</f>
        <v>7.7303794485034105E-2</v>
      </c>
      <c r="P27" s="8">
        <f t="shared" ref="P27:W27" si="7">P18/O18-1</f>
        <v>0.10000000000000009</v>
      </c>
      <c r="Q27" s="8">
        <f t="shared" si="7"/>
        <v>0.10000000000000009</v>
      </c>
      <c r="R27" s="8">
        <f t="shared" si="7"/>
        <v>0.10000000000000009</v>
      </c>
      <c r="S27" s="8">
        <f t="shared" si="7"/>
        <v>0.10000000000000009</v>
      </c>
      <c r="T27" s="8">
        <f t="shared" si="7"/>
        <v>0.10000000000000009</v>
      </c>
      <c r="U27" s="8">
        <f t="shared" si="7"/>
        <v>0.10000000000000009</v>
      </c>
      <c r="V27" s="8">
        <f t="shared" si="7"/>
        <v>0.10000000000000009</v>
      </c>
      <c r="W27" s="8">
        <f t="shared" si="7"/>
        <v>0.10000000000000009</v>
      </c>
    </row>
    <row r="28" spans="1:23" x14ac:dyDescent="0.25">
      <c r="O28" s="7">
        <f>O18/O5</f>
        <v>0.24058738903119409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bakhrom mansurov</dc:creator>
  <cp:lastModifiedBy>bakhrom mansurov</cp:lastModifiedBy>
  <dcterms:created xsi:type="dcterms:W3CDTF">2015-06-05T18:17:20Z</dcterms:created>
  <dcterms:modified xsi:type="dcterms:W3CDTF">2024-05-21T20:21:59Z</dcterms:modified>
</cp:coreProperties>
</file>