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0809ad8919981a3/Рабочий стол/Financial Modelling/"/>
    </mc:Choice>
  </mc:AlternateContent>
  <xr:revisionPtr revIDLastSave="1068" documentId="11_F25DC773A252ABDACC10480A611F4EDE5ADE58F3" xr6:coauthVersionLast="47" xr6:coauthVersionMax="47" xr10:uidLastSave="{704A5B7B-2456-4CB4-BC1F-2B9F9C4342F8}"/>
  <bookViews>
    <workbookView xWindow="-120" yWindow="-120" windowWidth="20730" windowHeight="11760" activeTab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2" l="1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Q24" i="2"/>
  <c r="Z24" i="2"/>
  <c r="Y24" i="2"/>
  <c r="X24" i="2"/>
  <c r="W24" i="2"/>
  <c r="V24" i="2"/>
  <c r="U24" i="2"/>
  <c r="T24" i="2"/>
  <c r="S24" i="2"/>
  <c r="T22" i="2"/>
  <c r="R19" i="2"/>
  <c r="R15" i="2"/>
  <c r="R13" i="2"/>
  <c r="R12" i="2"/>
  <c r="R11" i="2"/>
  <c r="R9" i="2"/>
  <c r="R6" i="2"/>
  <c r="R10" i="2" s="1"/>
  <c r="R14" i="2" s="1"/>
  <c r="R16" i="2" s="1"/>
  <c r="S19" i="2"/>
  <c r="S15" i="2"/>
  <c r="S13" i="2"/>
  <c r="S12" i="2"/>
  <c r="S11" i="2"/>
  <c r="S9" i="2"/>
  <c r="S6" i="2"/>
  <c r="S10" i="2" s="1"/>
  <c r="S14" i="2" s="1"/>
  <c r="S16" i="2" s="1"/>
  <c r="AC33" i="2"/>
  <c r="V6" i="2"/>
  <c r="V22" i="2" s="1"/>
  <c r="AC30" i="2"/>
  <c r="U22" i="2"/>
  <c r="Z19" i="2"/>
  <c r="Y19" i="2"/>
  <c r="X19" i="2"/>
  <c r="W19" i="2"/>
  <c r="V19" i="2"/>
  <c r="U20" i="2"/>
  <c r="T20" i="2"/>
  <c r="T16" i="2"/>
  <c r="T17" i="2" s="1"/>
  <c r="T18" i="2" s="1"/>
  <c r="U16" i="2"/>
  <c r="V15" i="2"/>
  <c r="U15" i="2"/>
  <c r="T15" i="2"/>
  <c r="U30" i="2"/>
  <c r="T30" i="2"/>
  <c r="L30" i="2"/>
  <c r="M30" i="2" s="1"/>
  <c r="N30" i="2" s="1"/>
  <c r="O30" i="2" s="1"/>
  <c r="P30" i="2" s="1"/>
  <c r="Q30" i="2" s="1"/>
  <c r="K30" i="2"/>
  <c r="V13" i="2"/>
  <c r="W13" i="2" s="1"/>
  <c r="X13" i="2" s="1"/>
  <c r="Y13" i="2" s="1"/>
  <c r="Z13" i="2" s="1"/>
  <c r="U19" i="2"/>
  <c r="T19" i="2"/>
  <c r="U17" i="2"/>
  <c r="U18" i="2" s="1"/>
  <c r="U13" i="2"/>
  <c r="T13" i="2"/>
  <c r="U12" i="2"/>
  <c r="V12" i="2" s="1"/>
  <c r="W12" i="2" s="1"/>
  <c r="X12" i="2" s="1"/>
  <c r="Y12" i="2" s="1"/>
  <c r="Z12" i="2" s="1"/>
  <c r="T12" i="2"/>
  <c r="U11" i="2"/>
  <c r="V11" i="2" s="1"/>
  <c r="W11" i="2" s="1"/>
  <c r="X11" i="2" s="1"/>
  <c r="Y11" i="2" s="1"/>
  <c r="Z11" i="2" s="1"/>
  <c r="T11" i="2"/>
  <c r="K6" i="2"/>
  <c r="T6" i="2" s="1"/>
  <c r="K1" i="2"/>
  <c r="L1" i="2" s="1"/>
  <c r="M1" i="2" s="1"/>
  <c r="N1" i="2" s="1"/>
  <c r="O1" i="2" s="1"/>
  <c r="P1" i="2" s="1"/>
  <c r="Q1" i="2" s="1"/>
  <c r="U1" i="2"/>
  <c r="V1" i="2" s="1"/>
  <c r="W1" i="2" s="1"/>
  <c r="X1" i="2" s="1"/>
  <c r="Y1" i="2" s="1"/>
  <c r="Z1" i="2" s="1"/>
  <c r="D6" i="2"/>
  <c r="C6" i="2"/>
  <c r="H6" i="2"/>
  <c r="L6" i="2" s="1"/>
  <c r="G6" i="2"/>
  <c r="E6" i="2"/>
  <c r="I6" i="2"/>
  <c r="M6" i="2" s="1"/>
  <c r="J6" i="2"/>
  <c r="N6" i="2" s="1"/>
  <c r="F6" i="2"/>
  <c r="C6" i="1"/>
  <c r="C5" i="1"/>
  <c r="C4" i="1"/>
  <c r="J75" i="2"/>
  <c r="I75" i="2"/>
  <c r="H75" i="2"/>
  <c r="G75" i="2"/>
  <c r="F75" i="2"/>
  <c r="D75" i="2"/>
  <c r="E75" i="2"/>
  <c r="C75" i="2"/>
  <c r="D67" i="2"/>
  <c r="D70" i="2" s="1"/>
  <c r="E67" i="2"/>
  <c r="E70" i="2" s="1"/>
  <c r="F67" i="2"/>
  <c r="F70" i="2" s="1"/>
  <c r="G67" i="2"/>
  <c r="G70" i="2" s="1"/>
  <c r="H67" i="2"/>
  <c r="H70" i="2" s="1"/>
  <c r="I67" i="2"/>
  <c r="I70" i="2" s="1"/>
  <c r="J67" i="2"/>
  <c r="J70" i="2" s="1"/>
  <c r="C67" i="2"/>
  <c r="C70" i="2" s="1"/>
  <c r="C41" i="2"/>
  <c r="C43" i="2"/>
  <c r="C44" i="2"/>
  <c r="C31" i="2"/>
  <c r="C33" i="2"/>
  <c r="C36" i="2"/>
  <c r="D41" i="2"/>
  <c r="D43" i="2"/>
  <c r="D44" i="2"/>
  <c r="D31" i="2"/>
  <c r="D33" i="2"/>
  <c r="D36" i="2"/>
  <c r="D9" i="2"/>
  <c r="E9" i="2"/>
  <c r="E41" i="2"/>
  <c r="E43" i="2"/>
  <c r="E44" i="2"/>
  <c r="E31" i="2"/>
  <c r="E33" i="2"/>
  <c r="E36" i="2"/>
  <c r="F9" i="2"/>
  <c r="F31" i="2"/>
  <c r="F41" i="2"/>
  <c r="F43" i="2"/>
  <c r="F44" i="2"/>
  <c r="F33" i="2"/>
  <c r="F36" i="2"/>
  <c r="C9" i="2"/>
  <c r="G31" i="2"/>
  <c r="G41" i="2"/>
  <c r="G9" i="2"/>
  <c r="G43" i="2"/>
  <c r="G44" i="2"/>
  <c r="G33" i="2"/>
  <c r="G36" i="2"/>
  <c r="I7" i="1"/>
  <c r="H9" i="2"/>
  <c r="H31" i="2"/>
  <c r="H41" i="2"/>
  <c r="H43" i="2"/>
  <c r="H44" i="2"/>
  <c r="H33" i="2"/>
  <c r="H36" i="2"/>
  <c r="J9" i="2"/>
  <c r="I9" i="2"/>
  <c r="I31" i="2"/>
  <c r="I41" i="2"/>
  <c r="I43" i="2"/>
  <c r="I44" i="2"/>
  <c r="I33" i="2"/>
  <c r="I36" i="2"/>
  <c r="J31" i="2"/>
  <c r="J41" i="2"/>
  <c r="J43" i="2"/>
  <c r="J45" i="2"/>
  <c r="J44" i="2"/>
  <c r="J47" i="2"/>
  <c r="J33" i="2"/>
  <c r="J36" i="2"/>
  <c r="I6" i="1"/>
  <c r="I9" i="1" s="1"/>
  <c r="I5" i="1"/>
  <c r="I8" i="1" s="1"/>
  <c r="I10" i="1" s="1"/>
  <c r="R17" i="2" l="1"/>
  <c r="R18" i="2" s="1"/>
  <c r="R20" i="2" s="1"/>
  <c r="S17" i="2"/>
  <c r="S18" i="2" s="1"/>
  <c r="S20" i="2" s="1"/>
  <c r="L22" i="2"/>
  <c r="N22" i="2"/>
  <c r="N10" i="2"/>
  <c r="N9" i="2" s="1"/>
  <c r="M22" i="2"/>
  <c r="M10" i="2"/>
  <c r="M14" i="2" s="1"/>
  <c r="Q6" i="2"/>
  <c r="O6" i="2"/>
  <c r="P6" i="2"/>
  <c r="P22" i="2" s="1"/>
  <c r="L10" i="2"/>
  <c r="L14" i="2" s="1"/>
  <c r="K10" i="2"/>
  <c r="K9" i="2" s="1"/>
  <c r="K22" i="2"/>
  <c r="O22" i="2"/>
  <c r="H22" i="2"/>
  <c r="J38" i="2"/>
  <c r="F10" i="2"/>
  <c r="F14" i="2" s="1"/>
  <c r="F25" i="2" s="1"/>
  <c r="C10" i="2"/>
  <c r="C14" i="2" s="1"/>
  <c r="C16" i="2" s="1"/>
  <c r="I49" i="2"/>
  <c r="E49" i="2"/>
  <c r="I30" i="2"/>
  <c r="I71" i="2"/>
  <c r="D10" i="2"/>
  <c r="C49" i="2"/>
  <c r="E10" i="2"/>
  <c r="E14" i="2" s="1"/>
  <c r="E16" i="2" s="1"/>
  <c r="J30" i="2"/>
  <c r="H30" i="2"/>
  <c r="H49" i="2"/>
  <c r="G10" i="2"/>
  <c r="J49" i="2"/>
  <c r="G49" i="2"/>
  <c r="I10" i="2"/>
  <c r="D38" i="2"/>
  <c r="G38" i="2"/>
  <c r="I22" i="2"/>
  <c r="F49" i="2"/>
  <c r="E38" i="2"/>
  <c r="D49" i="2"/>
  <c r="J10" i="2"/>
  <c r="J14" i="2" s="1"/>
  <c r="F30" i="2"/>
  <c r="C30" i="2"/>
  <c r="F38" i="2"/>
  <c r="H10" i="2"/>
  <c r="J22" i="2"/>
  <c r="C38" i="2"/>
  <c r="E30" i="2"/>
  <c r="I38" i="2"/>
  <c r="H38" i="2"/>
  <c r="G30" i="2"/>
  <c r="G22" i="2"/>
  <c r="D30" i="2"/>
  <c r="Q22" i="2" l="1"/>
  <c r="L9" i="2"/>
  <c r="Q10" i="2"/>
  <c r="Q9" i="2" s="1"/>
  <c r="M9" i="2"/>
  <c r="P10" i="2"/>
  <c r="N14" i="2"/>
  <c r="N25" i="2" s="1"/>
  <c r="T9" i="2"/>
  <c r="T10" i="2" s="1"/>
  <c r="T14" i="2" s="1"/>
  <c r="O10" i="2"/>
  <c r="O9" i="2" s="1"/>
  <c r="U6" i="2"/>
  <c r="Q14" i="2"/>
  <c r="K14" i="2"/>
  <c r="L16" i="2"/>
  <c r="L17" i="2" s="1"/>
  <c r="L25" i="2"/>
  <c r="M16" i="2"/>
  <c r="M17" i="2" s="1"/>
  <c r="M25" i="2"/>
  <c r="D14" i="2"/>
  <c r="D25" i="2" s="1"/>
  <c r="C25" i="2"/>
  <c r="H14" i="2"/>
  <c r="H25" i="2" s="1"/>
  <c r="G14" i="2"/>
  <c r="G25" i="2" s="1"/>
  <c r="I14" i="2"/>
  <c r="I25" i="2" s="1"/>
  <c r="E25" i="2"/>
  <c r="F16" i="2"/>
  <c r="F18" i="2" s="1"/>
  <c r="E26" i="2"/>
  <c r="E18" i="2"/>
  <c r="C18" i="2"/>
  <c r="C26" i="2"/>
  <c r="J25" i="2"/>
  <c r="J16" i="2"/>
  <c r="P14" i="2" l="1"/>
  <c r="U9" i="2"/>
  <c r="U10" i="2" s="1"/>
  <c r="U14" i="2" s="1"/>
  <c r="N16" i="2"/>
  <c r="N17" i="2" s="1"/>
  <c r="N26" i="2" s="1"/>
  <c r="P9" i="2"/>
  <c r="N18" i="2"/>
  <c r="O14" i="2"/>
  <c r="Q16" i="2"/>
  <c r="Q17" i="2" s="1"/>
  <c r="Q25" i="2"/>
  <c r="K16" i="2"/>
  <c r="K17" i="2" s="1"/>
  <c r="K25" i="2"/>
  <c r="L26" i="2"/>
  <c r="L18" i="2"/>
  <c r="M26" i="2"/>
  <c r="D16" i="2"/>
  <c r="D26" i="2" s="1"/>
  <c r="H16" i="2"/>
  <c r="H18" i="2" s="1"/>
  <c r="G16" i="2"/>
  <c r="G18" i="2" s="1"/>
  <c r="I16" i="2"/>
  <c r="I18" i="2" s="1"/>
  <c r="F26" i="2"/>
  <c r="C20" i="2"/>
  <c r="C52" i="2"/>
  <c r="F20" i="2"/>
  <c r="F52" i="2"/>
  <c r="J18" i="2"/>
  <c r="J26" i="2"/>
  <c r="E20" i="2"/>
  <c r="E52" i="2"/>
  <c r="P16" i="2" l="1"/>
  <c r="P17" i="2" s="1"/>
  <c r="P26" i="2" s="1"/>
  <c r="P25" i="2"/>
  <c r="V10" i="2"/>
  <c r="W6" i="2"/>
  <c r="W22" i="2" s="1"/>
  <c r="O16" i="2"/>
  <c r="O25" i="2"/>
  <c r="Q26" i="2"/>
  <c r="Q18" i="2"/>
  <c r="P18" i="2"/>
  <c r="K18" i="2"/>
  <c r="K26" i="2"/>
  <c r="M18" i="2"/>
  <c r="D18" i="2"/>
  <c r="D52" i="2" s="1"/>
  <c r="G26" i="2"/>
  <c r="H26" i="2"/>
  <c r="I26" i="2"/>
  <c r="G52" i="2"/>
  <c r="G20" i="2"/>
  <c r="I20" i="2"/>
  <c r="I52" i="2"/>
  <c r="J20" i="2"/>
  <c r="K20" i="2" s="1"/>
  <c r="L20" i="2" s="1"/>
  <c r="M20" i="2" s="1"/>
  <c r="N20" i="2" s="1"/>
  <c r="O20" i="2" s="1"/>
  <c r="P20" i="2" s="1"/>
  <c r="Q20" i="2" s="1"/>
  <c r="J52" i="2"/>
  <c r="H20" i="2"/>
  <c r="H52" i="2"/>
  <c r="V14" i="2" l="1"/>
  <c r="V16" i="2" s="1"/>
  <c r="V9" i="2"/>
  <c r="X6" i="2"/>
  <c r="X22" i="2" s="1"/>
  <c r="W10" i="2"/>
  <c r="O17" i="2"/>
  <c r="O26" i="2" s="1"/>
  <c r="D20" i="2"/>
  <c r="I72" i="2"/>
  <c r="W14" i="2" l="1"/>
  <c r="V18" i="2"/>
  <c r="V17" i="2"/>
  <c r="Y6" i="2"/>
  <c r="Y22" i="2" s="1"/>
  <c r="X10" i="2"/>
  <c r="X9" i="2" s="1"/>
  <c r="W9" i="2"/>
  <c r="O18" i="2"/>
  <c r="X14" i="2" l="1"/>
  <c r="V30" i="2"/>
  <c r="V20" i="2"/>
  <c r="Z6" i="2"/>
  <c r="Z22" i="2" s="1"/>
  <c r="Y10" i="2"/>
  <c r="Y9" i="2" s="1"/>
  <c r="W15" i="2" l="1"/>
  <c r="W16" i="2" s="1"/>
  <c r="Y14" i="2"/>
  <c r="Z10" i="2"/>
  <c r="Z14" i="2" l="1"/>
  <c r="W17" i="2"/>
  <c r="W18" i="2"/>
  <c r="Z9" i="2"/>
  <c r="W20" i="2" l="1"/>
  <c r="W30" i="2"/>
  <c r="X15" i="2" l="1"/>
  <c r="X16" i="2" s="1"/>
  <c r="X17" i="2" s="1"/>
  <c r="X18" i="2" s="1"/>
  <c r="X30" i="2" s="1"/>
  <c r="Y15" i="2" l="1"/>
  <c r="Y16" i="2" s="1"/>
  <c r="Y17" i="2" s="1"/>
  <c r="Y18" i="2" s="1"/>
  <c r="Y20" i="2" s="1"/>
  <c r="X20" i="2"/>
  <c r="Y30" i="2" l="1"/>
  <c r="Z15" i="2" l="1"/>
  <c r="Z16" i="2" s="1"/>
  <c r="Z17" i="2" l="1"/>
  <c r="Z18" i="2" s="1"/>
  <c r="AA18" i="2" l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Z20" i="2"/>
  <c r="Z30" i="2"/>
  <c r="AC29" i="2" l="1"/>
  <c r="AC31" i="2" s="1"/>
  <c r="AC32" i="2" s="1"/>
</calcChain>
</file>

<file path=xl/sharedStrings.xml><?xml version="1.0" encoding="utf-8"?>
<sst xmlns="http://schemas.openxmlformats.org/spreadsheetml/2006/main" count="111" uniqueCount="93">
  <si>
    <t>Price</t>
  </si>
  <si>
    <t>Shares</t>
  </si>
  <si>
    <t>MC</t>
  </si>
  <si>
    <t>Cash</t>
  </si>
  <si>
    <t>Debt</t>
  </si>
  <si>
    <t>EV</t>
  </si>
  <si>
    <t>Revenue</t>
  </si>
  <si>
    <t>Q124</t>
  </si>
  <si>
    <t>Q224</t>
  </si>
  <si>
    <t>Q324</t>
  </si>
  <si>
    <t>Q424</t>
  </si>
  <si>
    <t>Q125</t>
  </si>
  <si>
    <t>Q225</t>
  </si>
  <si>
    <t>Q325</t>
  </si>
  <si>
    <t>Q425</t>
  </si>
  <si>
    <t>Q422</t>
  </si>
  <si>
    <t>Q323</t>
  </si>
  <si>
    <t>Q423</t>
  </si>
  <si>
    <t>Q222</t>
  </si>
  <si>
    <t>Products COGS</t>
  </si>
  <si>
    <t>Services COGS</t>
  </si>
  <si>
    <t>Total 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</si>
  <si>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</si>
  <si>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</si>
  <si>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</si>
  <si>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</si>
  <si>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</si>
  <si>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</si>
  <si>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</si>
  <si>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</si>
  <si>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</si>
  <si>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</si>
  <si>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</si>
  <si>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</si>
  <si>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Tax Rate</t>
  </si>
  <si>
    <t>Net Cash</t>
  </si>
  <si>
    <t xml:space="preserve">Cash </t>
  </si>
  <si>
    <t>A/R</t>
  </si>
  <si>
    <t>Inventories</t>
  </si>
  <si>
    <t>Other</t>
  </si>
  <si>
    <t>D/T</t>
  </si>
  <si>
    <t>PP&amp;E</t>
  </si>
  <si>
    <t>Goodwill</t>
  </si>
  <si>
    <t>OLTA</t>
  </si>
  <si>
    <t>A/P</t>
  </si>
  <si>
    <t xml:space="preserve">Compensations </t>
  </si>
  <si>
    <t>D/R</t>
  </si>
  <si>
    <t>OCL</t>
  </si>
  <si>
    <t>OLTL</t>
  </si>
  <si>
    <t>Liabilities</t>
  </si>
  <si>
    <t>S+L/E</t>
  </si>
  <si>
    <t>Revenue Y/Y</t>
  </si>
  <si>
    <t>Model NI</t>
  </si>
  <si>
    <t>Reported NI</t>
  </si>
  <si>
    <t>D&amp;A</t>
  </si>
  <si>
    <t xml:space="preserve">CFFO </t>
  </si>
  <si>
    <t>SBC</t>
  </si>
  <si>
    <t>Investments</t>
  </si>
  <si>
    <t>OCA</t>
  </si>
  <si>
    <t>Assets</t>
  </si>
  <si>
    <t>CapEX</t>
  </si>
  <si>
    <t>FCF</t>
  </si>
  <si>
    <t xml:space="preserve">Acquisitions </t>
  </si>
  <si>
    <t>Buybacks</t>
  </si>
  <si>
    <t>Dividents</t>
  </si>
  <si>
    <t>12M FCF</t>
  </si>
  <si>
    <t>12M NI</t>
  </si>
  <si>
    <t>Segment</t>
  </si>
  <si>
    <t>% of Revenue</t>
  </si>
  <si>
    <t>Contains</t>
  </si>
  <si>
    <t>Productivity and Business Processes</t>
  </si>
  <si>
    <t>More Personal Computing</t>
  </si>
  <si>
    <t>Windows, Devices, Xbox</t>
  </si>
  <si>
    <t>Server products, Cloud Services</t>
  </si>
  <si>
    <t>Intelligent Cloud</t>
  </si>
  <si>
    <t>Growth</t>
  </si>
  <si>
    <t>Comptetition</t>
  </si>
  <si>
    <t>Google, Oracle, SAP</t>
  </si>
  <si>
    <t>LinkedIn, Office, Dynamics</t>
  </si>
  <si>
    <t>Amazon, Google</t>
  </si>
  <si>
    <t>Apple, Sony, Playstation</t>
  </si>
  <si>
    <t>Productivity</t>
  </si>
  <si>
    <t>PC</t>
  </si>
  <si>
    <t>Cloud</t>
  </si>
  <si>
    <t>Q122</t>
  </si>
  <si>
    <t>Q126</t>
  </si>
  <si>
    <t>Q226</t>
  </si>
  <si>
    <t>ROIC</t>
  </si>
  <si>
    <t>Discount Rate</t>
  </si>
  <si>
    <t>Maturity</t>
  </si>
  <si>
    <t>NPV</t>
  </si>
  <si>
    <t>Value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</si>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</sst>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9" fontId="0" fillId="0" borderId="4" xfId="0" applyNumberForma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3" fillId="0" borderId="2" xfId="0" applyNumberFormat="1" applyFont="1" applyBorder="1"/>
    <xf numFmtId="9" fontId="3" fillId="0" borderId="3" xfId="0" applyNumberFormat="1" applyFont="1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right"/>
    </xf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0</xdr:row>
      <xdr:rowOff>47625</xdr:rowOff>
    </xdr:from>
    <xdr:to>
      <xdr:col>10</xdr:col>
      <xdr:colOff>9525</xdr:colOff>
      <xdr:row>77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BF8BBD8-E7AD-363D-5EC9-DBC68F98966B}"/>
            </a:ext>
          </a:extLst>
        </xdr:cNvPr>
        <xdr:cNvCxnSpPr/>
      </xdr:nvCxnSpPr>
      <xdr:spPr>
        <a:xfrm>
          <a:off x="8839200" y="47625"/>
          <a:ext cx="19050" cy="14639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1"/>
  <sheetViews>
    <sheetView zoomScale="93" zoomScaleNormal="93" workbookViewId="0">
      <selection activeCell="J12" sqref="J12"/>
    </sheetView>
  </sheetViews>
  <sheetFormatPr defaultRowHeight="15" x14ac:dyDescent="0.25"/>
  <cols>
    <col min="2" max="2" width="33.42578125" bestFit="1" customWidth="1"/>
    <col min="3" max="3" width="22" customWidth="1"/>
    <col min="4" max="6" width="25.140625" customWidth="1"/>
    <col min="9" max="9" width="15.42578125" customWidth="1"/>
  </cols>
  <sheetData>
    <row r="3" spans="2:10" s="8" customFormat="1" x14ac:dyDescent="0.25">
      <c r="B3" s="14" t="s">
        <v>67</v>
      </c>
      <c r="C3" s="15" t="s">
        <v>68</v>
      </c>
      <c r="D3" s="15" t="s">
        <v>69</v>
      </c>
      <c r="E3" s="17" t="s">
        <v>75</v>
      </c>
      <c r="F3" s="16" t="s">
        <v>76</v>
      </c>
      <c r="H3" s="8" t="s">
        <v>0</v>
      </c>
      <c r="I3" s="9">
        <v>412.26</v>
      </c>
      <c r="J3" s="9"/>
    </row>
    <row r="4" spans="2:10" x14ac:dyDescent="0.25">
      <c r="B4" s="10" t="s">
        <v>70</v>
      </c>
      <c r="C4" s="4">
        <f>19600/61858</f>
        <v>0.31685473180510199</v>
      </c>
      <c r="D4" t="s">
        <v>78</v>
      </c>
      <c r="E4" s="18">
        <v>0.12</v>
      </c>
      <c r="F4" s="20" t="s">
        <v>77</v>
      </c>
      <c r="H4" t="s">
        <v>1</v>
      </c>
      <c r="I4" s="1">
        <v>7432.3050000000003</v>
      </c>
      <c r="J4" s="1" t="s">
        <v>7</v>
      </c>
    </row>
    <row r="5" spans="2:10" x14ac:dyDescent="0.25">
      <c r="B5" s="10" t="s">
        <v>74</v>
      </c>
      <c r="C5" s="4">
        <f>26700/61858</f>
        <v>0.43163374179572567</v>
      </c>
      <c r="D5" t="s">
        <v>73</v>
      </c>
      <c r="E5" s="18">
        <v>0.21</v>
      </c>
      <c r="F5" s="20" t="s">
        <v>79</v>
      </c>
      <c r="H5" t="s">
        <v>2</v>
      </c>
      <c r="I5" s="1">
        <f>I4*I3</f>
        <v>3064042.0592999998</v>
      </c>
      <c r="J5" s="1"/>
    </row>
    <row r="6" spans="2:10" x14ac:dyDescent="0.25">
      <c r="B6" s="11" t="s">
        <v>71</v>
      </c>
      <c r="C6" s="12">
        <f>15600/61858</f>
        <v>0.25219050082446892</v>
      </c>
      <c r="D6" s="13" t="s">
        <v>72</v>
      </c>
      <c r="E6" s="19">
        <v>0.17</v>
      </c>
      <c r="F6" s="21" t="s">
        <v>80</v>
      </c>
      <c r="H6" t="s">
        <v>3</v>
      </c>
      <c r="I6" s="1">
        <f>19634+60387+14807</f>
        <v>94828</v>
      </c>
      <c r="J6" s="1" t="s">
        <v>7</v>
      </c>
    </row>
    <row r="7" spans="2:10" x14ac:dyDescent="0.25">
      <c r="H7" t="s">
        <v>4</v>
      </c>
      <c r="I7" s="1">
        <f>20535+2249+42658</f>
        <v>65442</v>
      </c>
      <c r="J7" s="1" t="s">
        <v>7</v>
      </c>
    </row>
    <row r="8" spans="2:10" x14ac:dyDescent="0.25">
      <c r="H8" t="s">
        <v>5</v>
      </c>
      <c r="I8" s="1">
        <f>I5-I6+I7</f>
        <v>3034656.0592999998</v>
      </c>
      <c r="J8" s="1"/>
    </row>
    <row r="9" spans="2:10" x14ac:dyDescent="0.25">
      <c r="H9" t="s">
        <v>35</v>
      </c>
      <c r="I9" s="1">
        <f>I6-I7</f>
        <v>29386</v>
      </c>
      <c r="J9" s="1"/>
    </row>
    <row r="10" spans="2:10" x14ac:dyDescent="0.25">
      <c r="I10" s="1">
        <f>I8/108000</f>
        <v>28.09866721574074</v>
      </c>
      <c r="J10" s="1"/>
    </row>
    <row r="11" spans="2:10" x14ac:dyDescent="0.25">
      <c r="I11" s="1"/>
      <c r="J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1206-2024-43D2-92C3-2A8673981371}">
  <dimension ref="A1:AT76"/>
  <sheetViews>
    <sheetView tabSelected="1" workbookViewId="0">
      <pane xSplit="2" ySplit="2" topLeftCell="I6" activePane="bottomRight" state="frozen"/>
      <selection pane="topRight" activeCell="C1" sqref="C1"/>
      <selection pane="bottomLeft" activeCell="A3" sqref="A3"/>
      <selection pane="bottomRight" activeCell="T24" sqref="T24"/>
    </sheetView>
  </sheetViews>
  <sheetFormatPr defaultRowHeight="15" x14ac:dyDescent="0.25"/>
  <cols>
    <col min="2" max="2" width="34.42578125" customWidth="1"/>
    <col min="3" max="3" width="14.42578125" style="1" customWidth="1"/>
    <col min="4" max="4" width="10.7109375" style="1" bestFit="1" customWidth="1"/>
    <col min="5" max="5" width="10.5703125" style="1" bestFit="1" customWidth="1"/>
    <col min="6" max="8" width="10.7109375" style="1" bestFit="1" customWidth="1"/>
    <col min="9" max="9" width="10.5703125" style="1" bestFit="1" customWidth="1"/>
    <col min="10" max="17" width="10.7109375" style="1" bestFit="1" customWidth="1"/>
    <col min="20" max="26" width="10.7109375" bestFit="1" customWidth="1"/>
    <col min="28" max="28" width="13.5703125" customWidth="1"/>
    <col min="29" max="29" width="13.28515625" bestFit="1" customWidth="1"/>
  </cols>
  <sheetData>
    <row r="1" spans="1:26" x14ac:dyDescent="0.25">
      <c r="C1" s="2">
        <v>44742</v>
      </c>
      <c r="D1" s="2">
        <v>44834</v>
      </c>
      <c r="E1" s="2">
        <v>45291</v>
      </c>
      <c r="F1" s="2">
        <v>45016</v>
      </c>
      <c r="G1" s="2">
        <v>45107</v>
      </c>
      <c r="H1" s="2">
        <v>45199</v>
      </c>
      <c r="I1" s="2">
        <v>45291</v>
      </c>
      <c r="J1" s="2">
        <v>45382</v>
      </c>
      <c r="K1" s="2">
        <f>+J1+91</f>
        <v>45473</v>
      </c>
      <c r="L1" s="2">
        <f>+K1+92</f>
        <v>45565</v>
      </c>
      <c r="M1" s="2">
        <f t="shared" ref="M1:Q1" si="0">+L1+91</f>
        <v>45656</v>
      </c>
      <c r="N1" s="2">
        <f t="shared" si="0"/>
        <v>45747</v>
      </c>
      <c r="O1" s="2">
        <f t="shared" si="0"/>
        <v>45838</v>
      </c>
      <c r="P1" s="2">
        <f t="shared" si="0"/>
        <v>45929</v>
      </c>
      <c r="Q1" s="2">
        <f t="shared" si="0"/>
        <v>46020</v>
      </c>
      <c r="T1" s="2">
        <v>45473</v>
      </c>
      <c r="U1" s="2">
        <f>T1+365</f>
        <v>45838</v>
      </c>
      <c r="V1" s="2">
        <f t="shared" ref="V1:Z1" si="1">U1+365</f>
        <v>46203</v>
      </c>
      <c r="W1" s="2">
        <f t="shared" si="1"/>
        <v>46568</v>
      </c>
      <c r="X1" s="2">
        <f t="shared" si="1"/>
        <v>46933</v>
      </c>
      <c r="Y1" s="2">
        <f t="shared" si="1"/>
        <v>47298</v>
      </c>
      <c r="Z1" s="2">
        <f t="shared" si="1"/>
        <v>47663</v>
      </c>
    </row>
    <row r="2" spans="1:26" x14ac:dyDescent="0.25">
      <c r="C2" s="3" t="s">
        <v>15</v>
      </c>
      <c r="D2" s="3" t="s">
        <v>84</v>
      </c>
      <c r="E2" s="3" t="s">
        <v>18</v>
      </c>
      <c r="F2" s="3" t="s">
        <v>16</v>
      </c>
      <c r="G2" s="3" t="s">
        <v>17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85</v>
      </c>
      <c r="Q2" s="3" t="s">
        <v>86</v>
      </c>
      <c r="R2">
        <v>2022</v>
      </c>
      <c r="S2">
        <v>2023</v>
      </c>
      <c r="T2">
        <v>2024</v>
      </c>
      <c r="U2">
        <v>2025</v>
      </c>
      <c r="V2">
        <v>2026</v>
      </c>
      <c r="W2">
        <v>2027</v>
      </c>
      <c r="X2">
        <v>2028</v>
      </c>
      <c r="Y2">
        <v>2029</v>
      </c>
      <c r="Z2">
        <v>2030</v>
      </c>
    </row>
    <row r="3" spans="1:26" s="1" customFormat="1" x14ac:dyDescent="0.25">
      <c r="A3"/>
      <c r="B3" t="s">
        <v>81</v>
      </c>
      <c r="C3" s="22">
        <v>16600</v>
      </c>
      <c r="D3" s="22">
        <v>16465</v>
      </c>
      <c r="E3" s="22">
        <v>17002</v>
      </c>
      <c r="F3" s="22">
        <v>17516</v>
      </c>
      <c r="G3" s="22">
        <v>18291</v>
      </c>
      <c r="H3" s="22">
        <v>18592</v>
      </c>
      <c r="I3" s="22">
        <v>19249</v>
      </c>
      <c r="J3" s="22">
        <v>19570</v>
      </c>
      <c r="K3" s="3"/>
      <c r="L3" s="3"/>
      <c r="M3" s="3"/>
      <c r="N3" s="3"/>
      <c r="O3" s="3"/>
      <c r="P3" s="3"/>
      <c r="Q3" s="3"/>
      <c r="R3"/>
      <c r="S3"/>
    </row>
    <row r="4" spans="1:26" s="1" customFormat="1" x14ac:dyDescent="0.25">
      <c r="A4"/>
      <c r="B4" t="s">
        <v>83</v>
      </c>
      <c r="C4" s="22">
        <v>20804</v>
      </c>
      <c r="D4" s="22">
        <v>20325</v>
      </c>
      <c r="E4" s="22">
        <v>21508</v>
      </c>
      <c r="F4" s="22">
        <v>22081</v>
      </c>
      <c r="G4" s="22">
        <v>23993</v>
      </c>
      <c r="H4" s="22">
        <v>24259</v>
      </c>
      <c r="I4" s="22">
        <v>25880</v>
      </c>
      <c r="J4" s="22">
        <v>26708</v>
      </c>
      <c r="K4" s="3"/>
      <c r="L4" s="3"/>
      <c r="M4" s="3"/>
      <c r="N4" s="3"/>
      <c r="O4" s="3"/>
      <c r="P4" s="3"/>
      <c r="Q4" s="3"/>
      <c r="R4"/>
      <c r="S4"/>
    </row>
    <row r="5" spans="1:26" s="1" customFormat="1" x14ac:dyDescent="0.25">
      <c r="A5"/>
      <c r="B5" t="s">
        <v>82</v>
      </c>
      <c r="C5" s="22">
        <v>14461</v>
      </c>
      <c r="D5" s="22">
        <v>13332</v>
      </c>
      <c r="E5" s="22">
        <v>14237</v>
      </c>
      <c r="F5" s="22">
        <v>13260</v>
      </c>
      <c r="G5" s="22">
        <v>13905</v>
      </c>
      <c r="H5" s="22">
        <v>13666</v>
      </c>
      <c r="I5" s="22">
        <v>16891</v>
      </c>
      <c r="J5" s="22">
        <v>15580</v>
      </c>
      <c r="K5" s="3"/>
      <c r="L5" s="3"/>
      <c r="M5" s="3"/>
      <c r="N5" s="3"/>
      <c r="O5" s="3"/>
      <c r="P5" s="3"/>
      <c r="Q5" s="3"/>
      <c r="R5"/>
      <c r="S5"/>
    </row>
    <row r="6" spans="1:26" s="7" customFormat="1" x14ac:dyDescent="0.25">
      <c r="A6" s="6"/>
      <c r="B6" s="6" t="s">
        <v>6</v>
      </c>
      <c r="C6" s="7">
        <f t="shared" ref="C6:D6" si="2">SUM(C3:C5)</f>
        <v>51865</v>
      </c>
      <c r="D6" s="7">
        <f t="shared" si="2"/>
        <v>50122</v>
      </c>
      <c r="E6" s="7">
        <f>SUM(E3:E5)</f>
        <v>52747</v>
      </c>
      <c r="F6" s="7">
        <f>SUM(F3:F5)</f>
        <v>52857</v>
      </c>
      <c r="G6" s="7">
        <f t="shared" ref="G6:H6" si="3">SUM(G3:G5)</f>
        <v>56189</v>
      </c>
      <c r="H6" s="7">
        <f t="shared" si="3"/>
        <v>56517</v>
      </c>
      <c r="I6" s="7">
        <f>SUM(I3:I5)</f>
        <v>62020</v>
      </c>
      <c r="J6" s="7">
        <f>SUM(J3:J5)</f>
        <v>61858</v>
      </c>
      <c r="K6" s="7">
        <f>+G6*1.1</f>
        <v>61807.9</v>
      </c>
      <c r="L6" s="7">
        <f t="shared" ref="L6:Q6" si="4">+H6*1.1</f>
        <v>62168.700000000004</v>
      </c>
      <c r="M6" s="7">
        <f t="shared" si="4"/>
        <v>68222</v>
      </c>
      <c r="N6" s="7">
        <f t="shared" si="4"/>
        <v>68043.8</v>
      </c>
      <c r="O6" s="7">
        <f t="shared" si="4"/>
        <v>67988.69</v>
      </c>
      <c r="P6" s="7">
        <f t="shared" si="4"/>
        <v>68385.570000000007</v>
      </c>
      <c r="Q6" s="7">
        <f t="shared" si="4"/>
        <v>75044.200000000012</v>
      </c>
      <c r="R6" s="7">
        <f>SUM(F6:I6)</f>
        <v>227583</v>
      </c>
      <c r="S6" s="7">
        <f>SUM(G6:J6)</f>
        <v>236584</v>
      </c>
      <c r="T6" s="7">
        <f>SUM(H6:K6)</f>
        <v>242202.9</v>
      </c>
      <c r="U6" s="7">
        <f>SUM(L6:O6)</f>
        <v>266423.19</v>
      </c>
      <c r="V6" s="7">
        <f>U6*1.2</f>
        <v>319707.82799999998</v>
      </c>
      <c r="W6" s="7">
        <f t="shared" ref="W6:Z6" si="5">V6*1.1</f>
        <v>351678.61080000002</v>
      </c>
      <c r="X6" s="7">
        <f t="shared" si="5"/>
        <v>386846.47188000008</v>
      </c>
      <c r="Y6" s="7">
        <f t="shared" si="5"/>
        <v>425531.11906800012</v>
      </c>
      <c r="Z6" s="7">
        <f t="shared" si="5"/>
        <v>468084.23097480019</v>
      </c>
    </row>
    <row r="7" spans="1:26" s="1" customFormat="1" x14ac:dyDescent="0.25">
      <c r="A7"/>
      <c r="B7" t="s">
        <v>19</v>
      </c>
      <c r="C7" s="1">
        <v>4357</v>
      </c>
      <c r="D7" s="1">
        <v>4302</v>
      </c>
      <c r="E7" s="1">
        <v>5690</v>
      </c>
      <c r="F7" s="1">
        <v>3941</v>
      </c>
      <c r="G7" s="1">
        <v>3871</v>
      </c>
      <c r="H7" s="1">
        <v>3531</v>
      </c>
      <c r="I7" s="1">
        <v>5964</v>
      </c>
      <c r="J7" s="1">
        <v>4339</v>
      </c>
    </row>
    <row r="8" spans="1:26" s="1" customFormat="1" x14ac:dyDescent="0.25">
      <c r="A8"/>
      <c r="B8" t="s">
        <v>20</v>
      </c>
      <c r="C8" s="1">
        <v>12072</v>
      </c>
      <c r="D8" s="1">
        <v>11150</v>
      </c>
      <c r="E8" s="1">
        <v>11798</v>
      </c>
      <c r="F8" s="1">
        <v>12187</v>
      </c>
      <c r="G8" s="1">
        <v>12924</v>
      </c>
      <c r="H8" s="1">
        <v>12771</v>
      </c>
      <c r="I8" s="1">
        <v>13659</v>
      </c>
      <c r="J8" s="1">
        <v>14166</v>
      </c>
    </row>
    <row r="9" spans="1:26" s="1" customFormat="1" x14ac:dyDescent="0.25">
      <c r="A9"/>
      <c r="B9" t="s">
        <v>21</v>
      </c>
      <c r="C9" s="1">
        <f t="shared" ref="C9:J9" si="6">C7+C8</f>
        <v>16429</v>
      </c>
      <c r="D9" s="1">
        <f t="shared" si="6"/>
        <v>15452</v>
      </c>
      <c r="E9" s="1">
        <f t="shared" si="6"/>
        <v>17488</v>
      </c>
      <c r="F9" s="1">
        <f t="shared" si="6"/>
        <v>16128</v>
      </c>
      <c r="G9" s="1">
        <f t="shared" si="6"/>
        <v>16795</v>
      </c>
      <c r="H9" s="1">
        <f t="shared" si="6"/>
        <v>16302</v>
      </c>
      <c r="I9" s="1">
        <f t="shared" si="6"/>
        <v>19623</v>
      </c>
      <c r="J9" s="1">
        <f t="shared" si="6"/>
        <v>18505</v>
      </c>
      <c r="K9" s="1">
        <f>+K6-K10</f>
        <v>18542.370000000003</v>
      </c>
      <c r="L9" s="1">
        <f t="shared" ref="L9:Q9" si="7">+L6-L10</f>
        <v>18650.61</v>
      </c>
      <c r="M9" s="1">
        <f t="shared" si="7"/>
        <v>20466.600000000006</v>
      </c>
      <c r="N9" s="1">
        <f t="shared" si="7"/>
        <v>20413.140000000007</v>
      </c>
      <c r="O9" s="1">
        <f t="shared" si="7"/>
        <v>20396.607000000004</v>
      </c>
      <c r="P9" s="1">
        <f t="shared" si="7"/>
        <v>20515.671000000002</v>
      </c>
      <c r="Q9" s="1">
        <f t="shared" si="7"/>
        <v>22513.260000000009</v>
      </c>
      <c r="R9" s="7">
        <f>SUM(F9:I9)</f>
        <v>68848</v>
      </c>
      <c r="S9" s="7">
        <f>SUM(G9:J9)</f>
        <v>71225</v>
      </c>
      <c r="T9" s="7">
        <f>SUM(H9:K9)</f>
        <v>72972.37</v>
      </c>
      <c r="U9" s="7">
        <f>SUM(L9:O9)</f>
        <v>79926.957000000024</v>
      </c>
      <c r="V9" s="1">
        <f>V6-V10</f>
        <v>95912.348400000017</v>
      </c>
      <c r="W9" s="1">
        <f t="shared" ref="W9:Z9" si="8">W6-W10</f>
        <v>105503.58324000004</v>
      </c>
      <c r="X9" s="1">
        <f t="shared" si="8"/>
        <v>116053.94156400004</v>
      </c>
      <c r="Y9" s="1">
        <f t="shared" si="8"/>
        <v>127659.33572040003</v>
      </c>
      <c r="Z9" s="1">
        <f t="shared" si="8"/>
        <v>140425.26929244009</v>
      </c>
    </row>
    <row r="10" spans="1:26" s="1" customFormat="1" x14ac:dyDescent="0.25">
      <c r="A10"/>
      <c r="B10" t="s">
        <v>22</v>
      </c>
      <c r="C10" s="1">
        <f t="shared" ref="C10:J10" si="9">C6-C9</f>
        <v>35436</v>
      </c>
      <c r="D10" s="1">
        <f t="shared" si="9"/>
        <v>34670</v>
      </c>
      <c r="E10" s="1">
        <f t="shared" si="9"/>
        <v>35259</v>
      </c>
      <c r="F10" s="1">
        <f t="shared" si="9"/>
        <v>36729</v>
      </c>
      <c r="G10" s="1">
        <f t="shared" si="9"/>
        <v>39394</v>
      </c>
      <c r="H10" s="1">
        <f t="shared" si="9"/>
        <v>40215</v>
      </c>
      <c r="I10" s="1">
        <f t="shared" si="9"/>
        <v>42397</v>
      </c>
      <c r="J10" s="1">
        <f t="shared" si="9"/>
        <v>43353</v>
      </c>
      <c r="K10" s="1">
        <f>+K6*0.7</f>
        <v>43265.53</v>
      </c>
      <c r="L10" s="1">
        <f t="shared" ref="L10:Q10" si="10">+L6*0.7</f>
        <v>43518.090000000004</v>
      </c>
      <c r="M10" s="1">
        <f t="shared" si="10"/>
        <v>47755.399999999994</v>
      </c>
      <c r="N10" s="1">
        <f t="shared" si="10"/>
        <v>47630.659999999996</v>
      </c>
      <c r="O10" s="1">
        <f t="shared" si="10"/>
        <v>47592.082999999999</v>
      </c>
      <c r="P10" s="1">
        <f t="shared" si="10"/>
        <v>47869.899000000005</v>
      </c>
      <c r="Q10" s="1">
        <f t="shared" si="10"/>
        <v>52530.94</v>
      </c>
      <c r="R10" s="7">
        <f>R6-R9</f>
        <v>158735</v>
      </c>
      <c r="S10" s="7">
        <f>S6-S9</f>
        <v>165359</v>
      </c>
      <c r="T10" s="7">
        <f>T6-T9</f>
        <v>169230.53</v>
      </c>
      <c r="U10" s="7">
        <f>U6-U9</f>
        <v>186496.23299999998</v>
      </c>
      <c r="V10" s="1">
        <f>V6*0.7</f>
        <v>223795.47959999996</v>
      </c>
      <c r="W10" s="1">
        <f t="shared" ref="W10:Z10" si="11">W6*0.7</f>
        <v>246175.02755999999</v>
      </c>
      <c r="X10" s="1">
        <f t="shared" si="11"/>
        <v>270792.53031600005</v>
      </c>
      <c r="Y10" s="1">
        <f t="shared" si="11"/>
        <v>297871.78334760008</v>
      </c>
      <c r="Z10" s="1">
        <f t="shared" si="11"/>
        <v>327658.9616823601</v>
      </c>
    </row>
    <row r="11" spans="1:26" s="1" customFormat="1" x14ac:dyDescent="0.25">
      <c r="A11"/>
      <c r="B11" t="s">
        <v>23</v>
      </c>
      <c r="C11" s="1">
        <v>6849</v>
      </c>
      <c r="D11" s="1">
        <v>6626</v>
      </c>
      <c r="E11" s="1">
        <v>6844</v>
      </c>
      <c r="F11" s="1">
        <v>6984</v>
      </c>
      <c r="G11" s="1">
        <v>6739</v>
      </c>
      <c r="H11" s="1">
        <v>6659</v>
      </c>
      <c r="I11" s="1">
        <v>7142</v>
      </c>
      <c r="J11" s="1">
        <v>7653</v>
      </c>
      <c r="K11" s="1">
        <v>6739</v>
      </c>
      <c r="L11" s="1">
        <v>6739</v>
      </c>
      <c r="M11" s="1">
        <v>6739</v>
      </c>
      <c r="N11" s="1">
        <v>6739</v>
      </c>
      <c r="O11" s="1">
        <v>6739</v>
      </c>
      <c r="P11" s="1">
        <v>6739</v>
      </c>
      <c r="Q11" s="1">
        <v>6739</v>
      </c>
      <c r="R11" s="7">
        <f t="shared" ref="R11:T13" si="12">SUM(F11:I11)</f>
        <v>27524</v>
      </c>
      <c r="S11" s="7">
        <f t="shared" si="12"/>
        <v>28193</v>
      </c>
      <c r="T11" s="7">
        <f t="shared" si="12"/>
        <v>28193</v>
      </c>
      <c r="U11" s="7">
        <f>SUM(L11:O11)</f>
        <v>26956</v>
      </c>
      <c r="V11" s="1">
        <f>U11*1.05</f>
        <v>28303.800000000003</v>
      </c>
      <c r="W11" s="1">
        <f t="shared" ref="W11:Z11" si="13">V11*1.05</f>
        <v>29718.990000000005</v>
      </c>
      <c r="X11" s="1">
        <f t="shared" si="13"/>
        <v>31204.939500000008</v>
      </c>
      <c r="Y11" s="1">
        <f t="shared" si="13"/>
        <v>32765.18647500001</v>
      </c>
      <c r="Z11" s="1">
        <f t="shared" si="13"/>
        <v>34403.445798750014</v>
      </c>
    </row>
    <row r="12" spans="1:26" s="1" customFormat="1" x14ac:dyDescent="0.25">
      <c r="A12"/>
      <c r="B12" t="s">
        <v>24</v>
      </c>
      <c r="C12" s="1">
        <v>6304</v>
      </c>
      <c r="D12" s="1">
        <v>5126</v>
      </c>
      <c r="E12" s="1">
        <v>5679</v>
      </c>
      <c r="F12" s="1">
        <v>5750</v>
      </c>
      <c r="G12" s="1">
        <v>6204</v>
      </c>
      <c r="H12" s="1">
        <v>5187</v>
      </c>
      <c r="I12" s="1">
        <v>6246</v>
      </c>
      <c r="J12" s="1">
        <v>6207</v>
      </c>
      <c r="K12" s="1">
        <v>6204</v>
      </c>
      <c r="L12" s="1">
        <v>6204</v>
      </c>
      <c r="M12" s="1">
        <v>6204</v>
      </c>
      <c r="N12" s="1">
        <v>6204</v>
      </c>
      <c r="O12" s="1">
        <v>6204</v>
      </c>
      <c r="P12" s="1">
        <v>6204</v>
      </c>
      <c r="Q12" s="1">
        <v>6204</v>
      </c>
      <c r="R12" s="7">
        <f t="shared" si="12"/>
        <v>23387</v>
      </c>
      <c r="S12" s="7">
        <f t="shared" si="12"/>
        <v>23844</v>
      </c>
      <c r="T12" s="7">
        <f t="shared" si="12"/>
        <v>23844</v>
      </c>
      <c r="U12" s="7">
        <f>SUM(L12:O12)</f>
        <v>24816</v>
      </c>
      <c r="V12" s="1">
        <f t="shared" ref="V12:Z13" si="14">U12*1.05</f>
        <v>26056.800000000003</v>
      </c>
      <c r="W12" s="1">
        <f t="shared" si="14"/>
        <v>27359.640000000003</v>
      </c>
      <c r="X12" s="1">
        <f t="shared" si="14"/>
        <v>28727.622000000003</v>
      </c>
      <c r="Y12" s="1">
        <f t="shared" si="14"/>
        <v>30164.003100000005</v>
      </c>
      <c r="Z12" s="1">
        <f t="shared" si="14"/>
        <v>31672.203255000008</v>
      </c>
    </row>
    <row r="13" spans="1:26" s="1" customFormat="1" x14ac:dyDescent="0.25">
      <c r="A13"/>
      <c r="B13" t="s">
        <v>25</v>
      </c>
      <c r="C13" s="1">
        <v>1749</v>
      </c>
      <c r="D13" s="1">
        <v>1398</v>
      </c>
      <c r="E13" s="1">
        <v>2337</v>
      </c>
      <c r="F13" s="1">
        <v>1643</v>
      </c>
      <c r="G13" s="1">
        <v>2197</v>
      </c>
      <c r="H13" s="1">
        <v>1474</v>
      </c>
      <c r="I13" s="1">
        <v>1977</v>
      </c>
      <c r="J13" s="1">
        <v>1912</v>
      </c>
      <c r="K13" s="1">
        <v>2197</v>
      </c>
      <c r="L13" s="1">
        <v>2197</v>
      </c>
      <c r="M13" s="1">
        <v>2197</v>
      </c>
      <c r="N13" s="1">
        <v>2197</v>
      </c>
      <c r="O13" s="1">
        <v>2197</v>
      </c>
      <c r="P13" s="1">
        <v>2197</v>
      </c>
      <c r="Q13" s="1">
        <v>2197</v>
      </c>
      <c r="R13" s="7">
        <f t="shared" si="12"/>
        <v>7291</v>
      </c>
      <c r="S13" s="7">
        <f t="shared" si="12"/>
        <v>7560</v>
      </c>
      <c r="T13" s="7">
        <f t="shared" si="12"/>
        <v>7560</v>
      </c>
      <c r="U13" s="7">
        <f>SUM(L13:O13)</f>
        <v>8788</v>
      </c>
      <c r="V13" s="1">
        <f t="shared" si="14"/>
        <v>9227.4</v>
      </c>
      <c r="W13" s="1">
        <f t="shared" si="14"/>
        <v>9688.77</v>
      </c>
      <c r="X13" s="1">
        <f t="shared" si="14"/>
        <v>10173.208500000001</v>
      </c>
      <c r="Y13" s="1">
        <f t="shared" si="14"/>
        <v>10681.868925000001</v>
      </c>
      <c r="Z13" s="1">
        <f t="shared" si="14"/>
        <v>11215.962371250002</v>
      </c>
    </row>
    <row r="14" spans="1:26" s="1" customFormat="1" x14ac:dyDescent="0.25">
      <c r="A14"/>
      <c r="B14" t="s">
        <v>26</v>
      </c>
      <c r="C14" s="1">
        <f t="shared" ref="C14:K14" si="15">C10-C11-C12-C13</f>
        <v>20534</v>
      </c>
      <c r="D14" s="1">
        <f t="shared" si="15"/>
        <v>21520</v>
      </c>
      <c r="E14" s="1">
        <f t="shared" si="15"/>
        <v>20399</v>
      </c>
      <c r="F14" s="1">
        <f t="shared" si="15"/>
        <v>22352</v>
      </c>
      <c r="G14" s="1">
        <f t="shared" si="15"/>
        <v>24254</v>
      </c>
      <c r="H14" s="1">
        <f t="shared" si="15"/>
        <v>26895</v>
      </c>
      <c r="I14" s="1">
        <f t="shared" si="15"/>
        <v>27032</v>
      </c>
      <c r="J14" s="1">
        <f t="shared" si="15"/>
        <v>27581</v>
      </c>
      <c r="K14" s="1">
        <f t="shared" si="15"/>
        <v>28125.53</v>
      </c>
      <c r="L14" s="1">
        <f t="shared" ref="L14" si="16">L10-L11-L12-L13</f>
        <v>28378.090000000004</v>
      </c>
      <c r="M14" s="1">
        <f t="shared" ref="M14" si="17">M10-M11-M12-M13</f>
        <v>32615.399999999994</v>
      </c>
      <c r="N14" s="1">
        <f t="shared" ref="N14" si="18">N10-N11-N12-N13</f>
        <v>32490.659999999996</v>
      </c>
      <c r="O14" s="1">
        <f t="shared" ref="O14" si="19">O10-O11-O12-O13</f>
        <v>32452.082999999999</v>
      </c>
      <c r="P14" s="1">
        <f t="shared" ref="P14" si="20">P10-P11-P12-P13</f>
        <v>32729.899000000005</v>
      </c>
      <c r="Q14" s="1">
        <f t="shared" ref="Q14:R14" si="21">Q10-Q11-Q12-Q13</f>
        <v>37390.94</v>
      </c>
      <c r="R14" s="1">
        <f t="shared" si="21"/>
        <v>100533</v>
      </c>
      <c r="S14" s="1">
        <f t="shared" ref="S14:T14" si="22">S10-S11-S12-S13</f>
        <v>105762</v>
      </c>
      <c r="T14" s="1">
        <f t="shared" si="22"/>
        <v>109633.53</v>
      </c>
      <c r="U14" s="1">
        <f t="shared" ref="U14" si="23">U10-U11-U12-U13</f>
        <v>125936.23299999998</v>
      </c>
      <c r="V14" s="1">
        <f t="shared" ref="V14" si="24">V10-V11-V12-V13</f>
        <v>160207.47959999999</v>
      </c>
      <c r="W14" s="1">
        <f t="shared" ref="W14" si="25">W10-W11-W12-W13</f>
        <v>179407.62755999996</v>
      </c>
      <c r="X14" s="1">
        <f t="shared" ref="X14" si="26">X10-X11-X12-X13</f>
        <v>200686.76031600003</v>
      </c>
      <c r="Y14" s="1">
        <f t="shared" ref="Y14" si="27">Y10-Y11-Y12-Y13</f>
        <v>224260.7248476001</v>
      </c>
      <c r="Z14" s="1">
        <f t="shared" ref="Z14" si="28">Z10-Z11-Z12-Z13</f>
        <v>250367.35025736006</v>
      </c>
    </row>
    <row r="15" spans="1:26" s="1" customFormat="1" x14ac:dyDescent="0.25">
      <c r="A15"/>
      <c r="B15" t="s">
        <v>27</v>
      </c>
      <c r="C15" s="1">
        <v>-47</v>
      </c>
      <c r="D15" s="1">
        <v>54</v>
      </c>
      <c r="E15" s="1">
        <v>-60</v>
      </c>
      <c r="F15" s="1">
        <v>321</v>
      </c>
      <c r="G15" s="1">
        <v>473</v>
      </c>
      <c r="H15" s="1">
        <v>389</v>
      </c>
      <c r="I15" s="1">
        <v>-506</v>
      </c>
      <c r="J15" s="1">
        <v>-854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f>SUM(F15:I15)</f>
        <v>677</v>
      </c>
      <c r="S15" s="1">
        <f>SUM(G15:J15)</f>
        <v>-498</v>
      </c>
      <c r="T15" s="1">
        <f>SUM(H15:K15)</f>
        <v>-971</v>
      </c>
      <c r="U15" s="1">
        <f>T30*AC27</f>
        <v>524.48934600000007</v>
      </c>
      <c r="V15" s="1">
        <f t="shared" ref="V15:Z15" si="29">U30*AD27</f>
        <v>0</v>
      </c>
      <c r="W15" s="1">
        <f t="shared" si="29"/>
        <v>0</v>
      </c>
      <c r="X15" s="1">
        <f t="shared" si="29"/>
        <v>0</v>
      </c>
      <c r="Y15" s="1">
        <f t="shared" si="29"/>
        <v>0</v>
      </c>
      <c r="Z15" s="1">
        <f t="shared" si="29"/>
        <v>0</v>
      </c>
    </row>
    <row r="16" spans="1:26" s="1" customFormat="1" x14ac:dyDescent="0.25">
      <c r="A16"/>
      <c r="B16" t="s">
        <v>28</v>
      </c>
      <c r="C16" s="1">
        <f t="shared" ref="C16:K16" si="30">C14+C15</f>
        <v>20487</v>
      </c>
      <c r="D16" s="1">
        <f t="shared" si="30"/>
        <v>21574</v>
      </c>
      <c r="E16" s="1">
        <f t="shared" si="30"/>
        <v>20339</v>
      </c>
      <c r="F16" s="1">
        <f t="shared" si="30"/>
        <v>22673</v>
      </c>
      <c r="G16" s="1">
        <f t="shared" si="30"/>
        <v>24727</v>
      </c>
      <c r="H16" s="1">
        <f t="shared" si="30"/>
        <v>27284</v>
      </c>
      <c r="I16" s="1">
        <f t="shared" si="30"/>
        <v>26526</v>
      </c>
      <c r="J16" s="1">
        <f t="shared" si="30"/>
        <v>26727</v>
      </c>
      <c r="K16" s="1">
        <f t="shared" si="30"/>
        <v>28125.53</v>
      </c>
      <c r="L16" s="1">
        <f t="shared" ref="L16" si="31">L14+L15</f>
        <v>28378.090000000004</v>
      </c>
      <c r="M16" s="1">
        <f t="shared" ref="M16" si="32">M14+M15</f>
        <v>32615.399999999994</v>
      </c>
      <c r="N16" s="1">
        <f t="shared" ref="N16" si="33">N14+N15</f>
        <v>32490.659999999996</v>
      </c>
      <c r="O16" s="1">
        <f t="shared" ref="O16" si="34">O14+O15</f>
        <v>32452.082999999999</v>
      </c>
      <c r="P16" s="1">
        <f t="shared" ref="P16" si="35">P14+P15</f>
        <v>32729.899000000005</v>
      </c>
      <c r="Q16" s="1">
        <f t="shared" ref="Q16" si="36">Q14+Q15</f>
        <v>37390.94</v>
      </c>
      <c r="R16" s="1">
        <f>R14+R15</f>
        <v>101210</v>
      </c>
      <c r="S16" s="1">
        <f>S14+S15</f>
        <v>105264</v>
      </c>
      <c r="T16" s="1">
        <f>T14+T15</f>
        <v>108662.53</v>
      </c>
      <c r="U16" s="1">
        <f>U14+U15</f>
        <v>126460.72234599998</v>
      </c>
      <c r="V16" s="1">
        <f t="shared" ref="V16:Z16" si="37">V14+V15</f>
        <v>160207.47959999999</v>
      </c>
      <c r="W16" s="1">
        <f t="shared" si="37"/>
        <v>179407.62755999996</v>
      </c>
      <c r="X16" s="1">
        <f t="shared" si="37"/>
        <v>200686.76031600003</v>
      </c>
      <c r="Y16" s="1">
        <f t="shared" si="37"/>
        <v>224260.7248476001</v>
      </c>
      <c r="Z16" s="1">
        <f t="shared" si="37"/>
        <v>250367.35025736006</v>
      </c>
    </row>
    <row r="17" spans="1:46" s="1" customFormat="1" x14ac:dyDescent="0.25">
      <c r="A17"/>
      <c r="B17" t="s">
        <v>29</v>
      </c>
      <c r="C17" s="1">
        <v>3747</v>
      </c>
      <c r="D17" s="1">
        <v>4016</v>
      </c>
      <c r="E17" s="1">
        <v>3914</v>
      </c>
      <c r="F17" s="1">
        <v>4371</v>
      </c>
      <c r="G17" s="1">
        <v>4646</v>
      </c>
      <c r="H17" s="1">
        <v>4993</v>
      </c>
      <c r="I17" s="1">
        <v>4656</v>
      </c>
      <c r="J17" s="1">
        <v>4788</v>
      </c>
      <c r="K17" s="1">
        <f>+K16*0.18</f>
        <v>5062.5953999999992</v>
      </c>
      <c r="L17" s="1">
        <f t="shared" ref="L17:Q17" si="38">+L16*0.18</f>
        <v>5108.0562000000009</v>
      </c>
      <c r="M17" s="1">
        <f t="shared" si="38"/>
        <v>5870.771999999999</v>
      </c>
      <c r="N17" s="1">
        <f t="shared" si="38"/>
        <v>5848.3187999999991</v>
      </c>
      <c r="O17" s="1">
        <f t="shared" si="38"/>
        <v>5841.3749399999997</v>
      </c>
      <c r="P17" s="1">
        <f t="shared" si="38"/>
        <v>5891.3818200000005</v>
      </c>
      <c r="Q17" s="1">
        <f t="shared" si="38"/>
        <v>6730.3692000000001</v>
      </c>
      <c r="R17" s="1">
        <f t="shared" ref="R17:S17" si="39">+R16*0.18</f>
        <v>18217.8</v>
      </c>
      <c r="S17" s="1">
        <f t="shared" si="39"/>
        <v>18947.52</v>
      </c>
      <c r="T17" s="1">
        <f t="shared" ref="T17:U17" si="40">+T16*0.18</f>
        <v>19559.255399999998</v>
      </c>
      <c r="U17" s="1">
        <f t="shared" si="40"/>
        <v>22762.930022279994</v>
      </c>
      <c r="V17" s="1">
        <f t="shared" ref="V17" si="41">+V16*0.18</f>
        <v>28837.346327999996</v>
      </c>
      <c r="W17" s="1">
        <f t="shared" ref="W17" si="42">+W16*0.18</f>
        <v>32293.372960799992</v>
      </c>
      <c r="X17" s="1">
        <f t="shared" ref="X17" si="43">+X16*0.18</f>
        <v>36123.616856880006</v>
      </c>
      <c r="Y17" s="1">
        <f t="shared" ref="Y17" si="44">+Y16*0.18</f>
        <v>40366.930472568019</v>
      </c>
      <c r="Z17" s="1">
        <f t="shared" ref="Z17" si="45">+Z16*0.18</f>
        <v>45066.123046324807</v>
      </c>
    </row>
    <row r="18" spans="1:46" s="7" customFormat="1" x14ac:dyDescent="0.25">
      <c r="A18" s="6"/>
      <c r="B18" s="6" t="s">
        <v>30</v>
      </c>
      <c r="C18" s="7">
        <f t="shared" ref="C18:K18" si="46">C16-C17</f>
        <v>16740</v>
      </c>
      <c r="D18" s="7">
        <f t="shared" si="46"/>
        <v>17558</v>
      </c>
      <c r="E18" s="7">
        <f t="shared" si="46"/>
        <v>16425</v>
      </c>
      <c r="F18" s="7">
        <f t="shared" si="46"/>
        <v>18302</v>
      </c>
      <c r="G18" s="7">
        <f t="shared" si="46"/>
        <v>20081</v>
      </c>
      <c r="H18" s="7">
        <f t="shared" si="46"/>
        <v>22291</v>
      </c>
      <c r="I18" s="7">
        <f t="shared" si="46"/>
        <v>21870</v>
      </c>
      <c r="J18" s="7">
        <f t="shared" si="46"/>
        <v>21939</v>
      </c>
      <c r="K18" s="7">
        <f t="shared" si="46"/>
        <v>23062.934600000001</v>
      </c>
      <c r="L18" s="7">
        <f t="shared" ref="L18" si="47">L16-L17</f>
        <v>23270.033800000005</v>
      </c>
      <c r="M18" s="7">
        <f t="shared" ref="M18" si="48">M16-M17</f>
        <v>26744.627999999997</v>
      </c>
      <c r="N18" s="7">
        <f t="shared" ref="N18" si="49">N16-N17</f>
        <v>26642.341199999995</v>
      </c>
      <c r="O18" s="7">
        <f t="shared" ref="O18" si="50">O16-O17</f>
        <v>26610.708059999997</v>
      </c>
      <c r="P18" s="7">
        <f t="shared" ref="P18" si="51">P16-P17</f>
        <v>26838.517180000003</v>
      </c>
      <c r="Q18" s="7">
        <f t="shared" ref="Q18" si="52">Q16-Q17</f>
        <v>30660.570800000001</v>
      </c>
      <c r="R18" s="7">
        <f>R16-R17</f>
        <v>82992.2</v>
      </c>
      <c r="S18" s="7">
        <f>S16-S17</f>
        <v>86316.479999999996</v>
      </c>
      <c r="T18" s="7">
        <f>T16-T17</f>
        <v>89103.274600000004</v>
      </c>
      <c r="U18" s="7">
        <f>U16-U17</f>
        <v>103697.79232371999</v>
      </c>
      <c r="V18" s="7">
        <f t="shared" ref="V18:Z18" si="53">V16-V17</f>
        <v>131370.13327200001</v>
      </c>
      <c r="W18" s="7">
        <f t="shared" si="53"/>
        <v>147114.25459919998</v>
      </c>
      <c r="X18" s="7">
        <f t="shared" si="53"/>
        <v>164563.14345912001</v>
      </c>
      <c r="Y18" s="7">
        <f t="shared" si="53"/>
        <v>183893.79437503207</v>
      </c>
      <c r="Z18" s="7">
        <f t="shared" si="53"/>
        <v>205301.22721103526</v>
      </c>
      <c r="AA18" s="7">
        <f>Z18*0.99</f>
        <v>203248.21493892491</v>
      </c>
      <c r="AB18" s="7">
        <f t="shared" ref="AB18:AT18" si="54">AA18*0.99</f>
        <v>201215.73278953566</v>
      </c>
      <c r="AC18" s="7">
        <f t="shared" si="54"/>
        <v>199203.57546164028</v>
      </c>
      <c r="AD18" s="7">
        <f t="shared" si="54"/>
        <v>197211.53970702388</v>
      </c>
      <c r="AE18" s="7">
        <f t="shared" si="54"/>
        <v>195239.42430995364</v>
      </c>
      <c r="AF18" s="7">
        <f t="shared" si="54"/>
        <v>193287.03006685409</v>
      </c>
      <c r="AG18" s="7">
        <f t="shared" si="54"/>
        <v>191354.15976618553</v>
      </c>
      <c r="AH18" s="7">
        <f t="shared" si="54"/>
        <v>189440.61816852368</v>
      </c>
      <c r="AI18" s="7">
        <f t="shared" si="54"/>
        <v>187546.21198683843</v>
      </c>
      <c r="AJ18" s="7">
        <f t="shared" si="54"/>
        <v>185670.74986697006</v>
      </c>
      <c r="AK18" s="7">
        <f t="shared" si="54"/>
        <v>183814.04236830035</v>
      </c>
      <c r="AL18" s="7">
        <f t="shared" si="54"/>
        <v>181975.90194461733</v>
      </c>
      <c r="AM18" s="7">
        <f t="shared" si="54"/>
        <v>180156.14292517115</v>
      </c>
      <c r="AN18" s="7">
        <f t="shared" si="54"/>
        <v>178354.58149591944</v>
      </c>
      <c r="AO18" s="7">
        <f t="shared" si="54"/>
        <v>176571.03568096025</v>
      </c>
      <c r="AP18" s="7">
        <f t="shared" si="54"/>
        <v>174805.32532415065</v>
      </c>
      <c r="AQ18" s="7">
        <f t="shared" si="54"/>
        <v>173057.27207090915</v>
      </c>
      <c r="AR18" s="7">
        <f t="shared" si="54"/>
        <v>171326.69935020007</v>
      </c>
      <c r="AS18" s="7">
        <f t="shared" si="54"/>
        <v>169613.43235669806</v>
      </c>
      <c r="AT18" s="7">
        <f t="shared" si="54"/>
        <v>167917.29803313108</v>
      </c>
    </row>
    <row r="19" spans="1:46" s="1" customFormat="1" x14ac:dyDescent="0.25">
      <c r="A19"/>
      <c r="B19" t="s">
        <v>1</v>
      </c>
      <c r="C19" s="1">
        <v>7474</v>
      </c>
      <c r="D19" s="1">
        <v>7457</v>
      </c>
      <c r="E19" s="1">
        <v>7451</v>
      </c>
      <c r="F19" s="1">
        <v>7441</v>
      </c>
      <c r="G19" s="1">
        <v>7434</v>
      </c>
      <c r="H19" s="1">
        <v>7429</v>
      </c>
      <c r="I19" s="1">
        <v>7432</v>
      </c>
      <c r="J19" s="1">
        <v>7431</v>
      </c>
      <c r="K19" s="1">
        <v>7431</v>
      </c>
      <c r="L19" s="1">
        <v>7431</v>
      </c>
      <c r="M19" s="1">
        <v>7431</v>
      </c>
      <c r="N19" s="1">
        <v>7431</v>
      </c>
      <c r="O19" s="1">
        <v>7431</v>
      </c>
      <c r="P19" s="1">
        <v>7431</v>
      </c>
      <c r="Q19" s="1">
        <v>7431</v>
      </c>
      <c r="R19" s="1">
        <f>SUM(F19:I19)</f>
        <v>29736</v>
      </c>
      <c r="S19" s="1">
        <f>SUM(G19:J19)</f>
        <v>29726</v>
      </c>
      <c r="T19" s="1">
        <f>SUM(H19:K19)</f>
        <v>29723</v>
      </c>
      <c r="U19" s="1">
        <f>SUM(I19:L19)</f>
        <v>29725</v>
      </c>
      <c r="V19" s="1">
        <f t="shared" ref="V19:Z19" si="55">SUM(J19:M19)</f>
        <v>29724</v>
      </c>
      <c r="W19" s="1">
        <f t="shared" si="55"/>
        <v>29724</v>
      </c>
      <c r="X19" s="1">
        <f t="shared" si="55"/>
        <v>29724</v>
      </c>
      <c r="Y19" s="1">
        <f t="shared" si="55"/>
        <v>29724</v>
      </c>
      <c r="Z19" s="1">
        <f t="shared" si="55"/>
        <v>29724</v>
      </c>
    </row>
    <row r="20" spans="1:46" s="1" customFormat="1" x14ac:dyDescent="0.25">
      <c r="A20"/>
      <c r="B20" t="s">
        <v>31</v>
      </c>
      <c r="C20" s="5">
        <f t="shared" ref="C20:J20" si="56">C18/C19</f>
        <v>2.2397645169922398</v>
      </c>
      <c r="D20" s="5">
        <f t="shared" si="56"/>
        <v>2.3545661794287245</v>
      </c>
      <c r="E20" s="5">
        <f t="shared" si="56"/>
        <v>2.2044020936787008</v>
      </c>
      <c r="F20" s="5">
        <f t="shared" si="56"/>
        <v>2.4596156430587288</v>
      </c>
      <c r="G20" s="5">
        <f t="shared" si="56"/>
        <v>2.7012375571697604</v>
      </c>
      <c r="H20" s="5">
        <f t="shared" si="56"/>
        <v>3.000538430475165</v>
      </c>
      <c r="I20" s="5">
        <f t="shared" si="56"/>
        <v>2.9426803013993541</v>
      </c>
      <c r="J20" s="5">
        <f t="shared" si="56"/>
        <v>2.952361727896649</v>
      </c>
      <c r="K20" s="1">
        <f>J20</f>
        <v>2.952361727896649</v>
      </c>
      <c r="L20" s="1">
        <f t="shared" ref="L20:Q20" si="57">K20</f>
        <v>2.952361727896649</v>
      </c>
      <c r="M20" s="1">
        <f t="shared" si="57"/>
        <v>2.952361727896649</v>
      </c>
      <c r="N20" s="1">
        <f t="shared" si="57"/>
        <v>2.952361727896649</v>
      </c>
      <c r="O20" s="1">
        <f t="shared" si="57"/>
        <v>2.952361727896649</v>
      </c>
      <c r="P20" s="1">
        <f t="shared" si="57"/>
        <v>2.952361727896649</v>
      </c>
      <c r="Q20" s="1">
        <f t="shared" si="57"/>
        <v>2.952361727896649</v>
      </c>
      <c r="R20" s="23">
        <f>+R18/R19</f>
        <v>2.7909671778315843</v>
      </c>
      <c r="S20" s="23">
        <f>+S18/S19</f>
        <v>2.9037367960707798</v>
      </c>
      <c r="T20" s="23">
        <f>+T18/T19</f>
        <v>2.9977887359956936</v>
      </c>
      <c r="U20" s="23">
        <f>+U18/U19</f>
        <v>3.4885716509241376</v>
      </c>
      <c r="V20" s="23">
        <f t="shared" ref="V20:Z20" si="58">+V18/V19</f>
        <v>4.4196653637464678</v>
      </c>
      <c r="W20" s="23">
        <f t="shared" si="58"/>
        <v>4.9493424370609604</v>
      </c>
      <c r="X20" s="23">
        <f t="shared" si="58"/>
        <v>5.5363727445538959</v>
      </c>
      <c r="Y20" s="23">
        <f t="shared" si="58"/>
        <v>6.1867108859854687</v>
      </c>
      <c r="Z20" s="23">
        <f t="shared" si="58"/>
        <v>6.9069178849090047</v>
      </c>
    </row>
    <row r="21" spans="1:46" x14ac:dyDescent="0.25">
      <c r="C21" s="5"/>
      <c r="D21" s="5"/>
      <c r="E21" s="5"/>
      <c r="F21" s="5"/>
      <c r="G21" s="5"/>
      <c r="H21" s="5"/>
      <c r="I21" s="5"/>
      <c r="J21" s="5"/>
    </row>
    <row r="22" spans="1:46" s="4" customFormat="1" x14ac:dyDescent="0.25">
      <c r="B22" s="4" t="s">
        <v>51</v>
      </c>
      <c r="G22" s="4">
        <f>G6/C6-1</f>
        <v>8.3370288248336921E-2</v>
      </c>
      <c r="H22" s="4">
        <f>H6/D6-1</f>
        <v>0.12758868361198683</v>
      </c>
      <c r="I22" s="4">
        <f>I6/E6-1</f>
        <v>0.17580146738203117</v>
      </c>
      <c r="J22" s="4">
        <f>J6/F6-1</f>
        <v>0.17028964943148495</v>
      </c>
      <c r="K22" s="4">
        <f t="shared" ref="K22:Q22" si="59">K6/G6-1</f>
        <v>0.10000000000000009</v>
      </c>
      <c r="L22" s="4">
        <f t="shared" si="59"/>
        <v>0.10000000000000009</v>
      </c>
      <c r="M22" s="4">
        <f t="shared" si="59"/>
        <v>0.10000000000000009</v>
      </c>
      <c r="N22" s="4">
        <f t="shared" si="59"/>
        <v>0.10000000000000009</v>
      </c>
      <c r="O22" s="4">
        <f t="shared" si="59"/>
        <v>0.10000000000000009</v>
      </c>
      <c r="P22" s="4">
        <f t="shared" si="59"/>
        <v>0.10000000000000009</v>
      </c>
      <c r="Q22" s="4">
        <f t="shared" si="59"/>
        <v>0.10000000000000009</v>
      </c>
      <c r="T22" s="4">
        <f>+T6/S6-1</f>
        <v>2.3750126804855665E-2</v>
      </c>
      <c r="U22" s="4">
        <f>+U6/T6-1</f>
        <v>0.10000000000000009</v>
      </c>
      <c r="V22" s="4">
        <f t="shared" ref="V22:Z22" si="60">+V6/U6-1</f>
        <v>0.19999999999999996</v>
      </c>
      <c r="W22" s="4">
        <f t="shared" si="60"/>
        <v>0.10000000000000009</v>
      </c>
      <c r="X22" s="4">
        <f t="shared" si="60"/>
        <v>0.10000000000000009</v>
      </c>
      <c r="Y22" s="4">
        <f t="shared" si="60"/>
        <v>0.10000000000000009</v>
      </c>
      <c r="Z22" s="4">
        <f t="shared" si="60"/>
        <v>0.10000000000000009</v>
      </c>
    </row>
    <row r="24" spans="1:46" x14ac:dyDescent="0.25">
      <c r="B24" t="s">
        <v>32</v>
      </c>
      <c r="C24" s="4">
        <f t="shared" ref="C24:P24" si="61">C9/C6</f>
        <v>0.3167646775281982</v>
      </c>
      <c r="D24" s="4">
        <f t="shared" si="61"/>
        <v>0.30828777782211403</v>
      </c>
      <c r="E24" s="4">
        <f t="shared" si="61"/>
        <v>0.33154492198608454</v>
      </c>
      <c r="F24" s="4">
        <f t="shared" si="61"/>
        <v>0.30512514898688914</v>
      </c>
      <c r="G24" s="4">
        <f t="shared" si="61"/>
        <v>0.29890192030468599</v>
      </c>
      <c r="H24" s="4">
        <f t="shared" si="61"/>
        <v>0.28844418493550611</v>
      </c>
      <c r="I24" s="4">
        <f t="shared" si="61"/>
        <v>0.31639793614962913</v>
      </c>
      <c r="J24" s="4">
        <f t="shared" si="61"/>
        <v>0.29915289857415372</v>
      </c>
      <c r="K24" s="4">
        <f t="shared" si="61"/>
        <v>0.30000000000000004</v>
      </c>
      <c r="L24" s="4">
        <f t="shared" si="61"/>
        <v>0.3</v>
      </c>
      <c r="M24" s="4">
        <f t="shared" si="61"/>
        <v>0.3000000000000001</v>
      </c>
      <c r="N24" s="4">
        <f t="shared" si="61"/>
        <v>0.3000000000000001</v>
      </c>
      <c r="O24" s="4">
        <f t="shared" si="61"/>
        <v>0.30000000000000004</v>
      </c>
      <c r="P24" s="4">
        <f t="shared" si="61"/>
        <v>0.3</v>
      </c>
      <c r="Q24" s="4">
        <f>Q9/Q6</f>
        <v>0.3000000000000001</v>
      </c>
      <c r="S24" s="4">
        <f>S9/S6</f>
        <v>0.3010558617657999</v>
      </c>
      <c r="T24" s="4">
        <f t="shared" ref="T24:Z24" si="62">T9/T6</f>
        <v>0.30128611176827363</v>
      </c>
      <c r="U24" s="4">
        <f t="shared" si="62"/>
        <v>0.3000000000000001</v>
      </c>
      <c r="V24" s="4">
        <f t="shared" si="62"/>
        <v>0.3000000000000001</v>
      </c>
      <c r="W24" s="4">
        <f t="shared" si="62"/>
        <v>0.3000000000000001</v>
      </c>
      <c r="X24" s="4">
        <f t="shared" si="62"/>
        <v>0.30000000000000004</v>
      </c>
      <c r="Y24" s="4">
        <f t="shared" si="62"/>
        <v>0.3</v>
      </c>
      <c r="Z24" s="4">
        <f t="shared" si="62"/>
        <v>0.3000000000000001</v>
      </c>
    </row>
    <row r="25" spans="1:46" x14ac:dyDescent="0.25">
      <c r="B25" t="s">
        <v>33</v>
      </c>
      <c r="C25" s="4">
        <f t="shared" ref="C25:J25" si="63">C14/C6</f>
        <v>0.3959124650535043</v>
      </c>
      <c r="D25" s="4">
        <f t="shared" si="63"/>
        <v>0.42935238019233074</v>
      </c>
      <c r="E25" s="4">
        <f t="shared" si="63"/>
        <v>0.3867328947617874</v>
      </c>
      <c r="F25" s="4">
        <f t="shared" si="63"/>
        <v>0.42287681858599618</v>
      </c>
      <c r="G25" s="4">
        <f t="shared" si="63"/>
        <v>0.4316503230169606</v>
      </c>
      <c r="H25" s="4">
        <f t="shared" si="63"/>
        <v>0.47587451563246458</v>
      </c>
      <c r="I25" s="4">
        <f t="shared" si="63"/>
        <v>0.43585940019348596</v>
      </c>
      <c r="J25" s="4">
        <f t="shared" si="63"/>
        <v>0.44587603866921011</v>
      </c>
      <c r="K25" s="4">
        <f t="shared" ref="K25:Q25" si="64">K14/K6</f>
        <v>0.45504749392876959</v>
      </c>
      <c r="L25" s="4">
        <f t="shared" si="64"/>
        <v>0.45646909135947833</v>
      </c>
      <c r="M25" s="4">
        <f t="shared" si="64"/>
        <v>0.47807745302101951</v>
      </c>
      <c r="N25" s="4">
        <f t="shared" si="64"/>
        <v>0.47749625976209437</v>
      </c>
      <c r="O25" s="4">
        <f t="shared" si="64"/>
        <v>0.47731590357160869</v>
      </c>
      <c r="P25" s="4">
        <f t="shared" si="64"/>
        <v>0.47860826487225305</v>
      </c>
      <c r="Q25" s="4">
        <f t="shared" si="64"/>
        <v>0.49825223001910868</v>
      </c>
    </row>
    <row r="26" spans="1:46" x14ac:dyDescent="0.25">
      <c r="B26" t="s">
        <v>34</v>
      </c>
      <c r="C26" s="4">
        <f t="shared" ref="C26:J26" si="65">C17/C16</f>
        <v>0.18289647093278666</v>
      </c>
      <c r="D26" s="4">
        <f t="shared" si="65"/>
        <v>0.18614999536479096</v>
      </c>
      <c r="E26" s="4">
        <f t="shared" si="65"/>
        <v>0.19243817296818919</v>
      </c>
      <c r="F26" s="4">
        <f t="shared" si="65"/>
        <v>0.19278436907334714</v>
      </c>
      <c r="G26" s="4">
        <f t="shared" si="65"/>
        <v>0.18789177821814212</v>
      </c>
      <c r="H26" s="4">
        <f t="shared" si="65"/>
        <v>0.18300102624248643</v>
      </c>
      <c r="I26" s="4">
        <f t="shared" si="65"/>
        <v>0.17552589911784663</v>
      </c>
      <c r="J26" s="4">
        <f t="shared" si="65"/>
        <v>0.17914468514984846</v>
      </c>
      <c r="K26" s="4">
        <f t="shared" ref="K26:Q26" si="66">K17/K16</f>
        <v>0.18</v>
      </c>
      <c r="L26" s="4">
        <f t="shared" si="66"/>
        <v>0.18000000000000002</v>
      </c>
      <c r="M26" s="4">
        <f t="shared" si="66"/>
        <v>0.18</v>
      </c>
      <c r="N26" s="4">
        <f t="shared" si="66"/>
        <v>0.18</v>
      </c>
      <c r="O26" s="4">
        <f t="shared" si="66"/>
        <v>0.18</v>
      </c>
      <c r="P26" s="4">
        <f t="shared" si="66"/>
        <v>0.18</v>
      </c>
      <c r="Q26" s="4">
        <f t="shared" si="66"/>
        <v>0.18</v>
      </c>
      <c r="AB26" t="s">
        <v>89</v>
      </c>
      <c r="AC26" s="4">
        <v>-0.01</v>
      </c>
    </row>
    <row r="27" spans="1:46" x14ac:dyDescent="0.25">
      <c r="AB27" t="s">
        <v>87</v>
      </c>
      <c r="AC27" s="4">
        <v>0.01</v>
      </c>
    </row>
    <row r="28" spans="1:46" x14ac:dyDescent="0.25">
      <c r="AB28" t="s">
        <v>88</v>
      </c>
      <c r="AC28" s="4">
        <v>0.04</v>
      </c>
    </row>
    <row r="29" spans="1:46" x14ac:dyDescent="0.25">
      <c r="AB29" t="s">
        <v>90</v>
      </c>
      <c r="AC29" s="24">
        <f>NPV(AC28,U18:AT18)</f>
        <v>2819415.9220565758</v>
      </c>
    </row>
    <row r="30" spans="1:46" s="6" customFormat="1" x14ac:dyDescent="0.25">
      <c r="B30" s="6" t="s">
        <v>35</v>
      </c>
      <c r="C30" s="7">
        <f t="shared" ref="C30:J30" si="67">C31-C41</f>
        <v>61867</v>
      </c>
      <c r="D30" s="7">
        <f t="shared" si="67"/>
        <v>65479</v>
      </c>
      <c r="E30" s="7">
        <f t="shared" si="67"/>
        <v>58489</v>
      </c>
      <c r="F30" s="7">
        <f t="shared" si="67"/>
        <v>65632</v>
      </c>
      <c r="G30" s="7">
        <f t="shared" si="67"/>
        <v>73904</v>
      </c>
      <c r="H30" s="7">
        <f t="shared" si="67"/>
        <v>83872</v>
      </c>
      <c r="I30" s="7">
        <f t="shared" si="67"/>
        <v>20165</v>
      </c>
      <c r="J30" s="7">
        <f t="shared" si="67"/>
        <v>29386</v>
      </c>
      <c r="K30" s="7">
        <f>+J30+K18</f>
        <v>52448.934600000001</v>
      </c>
      <c r="L30" s="7">
        <f t="shared" ref="L30:Q30" si="68">+K30+L18</f>
        <v>75718.968400000012</v>
      </c>
      <c r="M30" s="7">
        <f t="shared" si="68"/>
        <v>102463.59640000001</v>
      </c>
      <c r="N30" s="7">
        <f t="shared" si="68"/>
        <v>129105.9376</v>
      </c>
      <c r="O30" s="7">
        <f t="shared" si="68"/>
        <v>155716.64566000001</v>
      </c>
      <c r="P30" s="7">
        <f t="shared" si="68"/>
        <v>182555.16284</v>
      </c>
      <c r="Q30" s="7">
        <f t="shared" si="68"/>
        <v>213215.73363999999</v>
      </c>
      <c r="T30" s="7">
        <f>+K30</f>
        <v>52448.934600000001</v>
      </c>
      <c r="U30" s="7">
        <f>O30</f>
        <v>155716.64566000001</v>
      </c>
      <c r="V30" s="7">
        <f>+U30+V18</f>
        <v>287086.77893200004</v>
      </c>
      <c r="W30" s="7">
        <f t="shared" ref="W30:Z30" si="69">+V30+W18</f>
        <v>434201.03353120002</v>
      </c>
      <c r="X30" s="7">
        <f t="shared" si="69"/>
        <v>598764.17699031997</v>
      </c>
      <c r="Y30" s="7">
        <f t="shared" si="69"/>
        <v>782657.97136535204</v>
      </c>
      <c r="Z30" s="7">
        <f t="shared" si="69"/>
        <v>987959.19857638725</v>
      </c>
      <c r="AB30" s="6" t="s">
        <v>3</v>
      </c>
      <c r="AC30" s="7">
        <f>Main!I6</f>
        <v>94828</v>
      </c>
    </row>
    <row r="31" spans="1:46" x14ac:dyDescent="0.25">
      <c r="B31" t="s">
        <v>36</v>
      </c>
      <c r="C31" s="1">
        <f>104757+6891</f>
        <v>111648</v>
      </c>
      <c r="D31" s="1">
        <f>107262+6839</f>
        <v>114101</v>
      </c>
      <c r="E31" s="1">
        <f>99508+7097</f>
        <v>106605</v>
      </c>
      <c r="F31" s="1">
        <f>104427+9415</f>
        <v>113842</v>
      </c>
      <c r="G31" s="1">
        <f>111262+9879</f>
        <v>121141</v>
      </c>
      <c r="H31" s="1">
        <f>143951+11423</f>
        <v>155374</v>
      </c>
      <c r="I31" s="1">
        <f>81017+13367</f>
        <v>94384</v>
      </c>
      <c r="J31" s="1">
        <f>80021+14807</f>
        <v>94828</v>
      </c>
      <c r="AB31" t="s">
        <v>91</v>
      </c>
      <c r="AC31" s="24">
        <f>AC29+AC30</f>
        <v>2914243.9220565758</v>
      </c>
    </row>
    <row r="32" spans="1:46" x14ac:dyDescent="0.25">
      <c r="B32" t="s">
        <v>37</v>
      </c>
      <c r="C32" s="1">
        <v>44261</v>
      </c>
      <c r="D32" s="1">
        <v>31279</v>
      </c>
      <c r="E32" s="1">
        <v>35833</v>
      </c>
      <c r="F32" s="1">
        <v>37420</v>
      </c>
      <c r="G32" s="1">
        <v>48688</v>
      </c>
      <c r="H32" s="1">
        <v>36953</v>
      </c>
      <c r="I32" s="1">
        <v>42831</v>
      </c>
      <c r="J32" s="1">
        <v>44029</v>
      </c>
      <c r="AB32" t="s">
        <v>90</v>
      </c>
      <c r="AC32" s="1">
        <f>AC31/Main!I4</f>
        <v>392.10499596781557</v>
      </c>
    </row>
    <row r="33" spans="2:29" x14ac:dyDescent="0.25">
      <c r="B33" t="s">
        <v>38</v>
      </c>
      <c r="C33" s="1">
        <f>3742+13148</f>
        <v>16890</v>
      </c>
      <c r="D33" s="1">
        <f>4268+13347</f>
        <v>17615</v>
      </c>
      <c r="E33" s="1">
        <f>2980+13624</f>
        <v>16604</v>
      </c>
      <c r="F33" s="1">
        <f>2877+13871</f>
        <v>16748</v>
      </c>
      <c r="G33" s="1">
        <f>2500+14346</f>
        <v>16846</v>
      </c>
      <c r="H33" s="1">
        <f>3000+15435</f>
        <v>18435</v>
      </c>
      <c r="I33" s="1">
        <f>1615+16398</f>
        <v>18013</v>
      </c>
      <c r="J33" s="1">
        <f>1304+17371</f>
        <v>18675</v>
      </c>
      <c r="AB33" t="s">
        <v>92</v>
      </c>
      <c r="AC33" s="4">
        <f>AC32/Main!I3-1</f>
        <v>-4.8889060379819549E-2</v>
      </c>
    </row>
    <row r="34" spans="2:29" x14ac:dyDescent="0.25">
      <c r="B34" t="s">
        <v>39</v>
      </c>
      <c r="C34" s="1">
        <v>16924</v>
      </c>
      <c r="D34" s="1">
        <v>18003</v>
      </c>
      <c r="E34" s="1">
        <v>19502</v>
      </c>
      <c r="F34" s="1">
        <v>19165</v>
      </c>
      <c r="G34" s="1">
        <v>21807</v>
      </c>
      <c r="H34" s="1">
        <v>23682</v>
      </c>
      <c r="I34" s="1">
        <v>21930</v>
      </c>
      <c r="J34" s="1">
        <v>21826</v>
      </c>
    </row>
    <row r="35" spans="2:29" x14ac:dyDescent="0.25">
      <c r="B35" t="s">
        <v>41</v>
      </c>
      <c r="C35" s="1">
        <v>74398</v>
      </c>
      <c r="D35" s="1">
        <v>77037</v>
      </c>
      <c r="E35" s="1">
        <v>82755</v>
      </c>
      <c r="F35" s="1">
        <v>88132</v>
      </c>
      <c r="G35" s="1">
        <v>95641</v>
      </c>
      <c r="H35" s="1">
        <v>102502</v>
      </c>
      <c r="I35" s="1">
        <v>112308</v>
      </c>
      <c r="J35" s="1">
        <v>121375</v>
      </c>
    </row>
    <row r="36" spans="2:29" x14ac:dyDescent="0.25">
      <c r="B36" t="s">
        <v>42</v>
      </c>
      <c r="C36" s="1">
        <f>67524+11298</f>
        <v>78822</v>
      </c>
      <c r="D36" s="1">
        <f>67459+10808</f>
        <v>78267</v>
      </c>
      <c r="E36" s="1">
        <f>67905+10354</f>
        <v>78259</v>
      </c>
      <c r="F36" s="1">
        <f>67940+9879</f>
        <v>77819</v>
      </c>
      <c r="G36" s="1">
        <f>67886+9366</f>
        <v>77252</v>
      </c>
      <c r="H36" s="1">
        <f>67790+8895</f>
        <v>76685</v>
      </c>
      <c r="I36" s="1">
        <f>118931+29896</f>
        <v>148827</v>
      </c>
      <c r="J36" s="1">
        <f>119163+28828</f>
        <v>147991</v>
      </c>
    </row>
    <row r="37" spans="2:29" x14ac:dyDescent="0.25">
      <c r="B37" t="s">
        <v>43</v>
      </c>
      <c r="C37" s="1">
        <v>21897</v>
      </c>
      <c r="D37" s="1">
        <v>23482</v>
      </c>
      <c r="E37" s="1">
        <v>24994</v>
      </c>
      <c r="F37" s="1">
        <v>26954</v>
      </c>
      <c r="G37" s="1">
        <v>30601</v>
      </c>
      <c r="H37" s="1">
        <v>32154</v>
      </c>
      <c r="I37" s="1">
        <v>32265</v>
      </c>
      <c r="J37" s="1">
        <v>35551</v>
      </c>
    </row>
    <row r="38" spans="2:29" x14ac:dyDescent="0.25">
      <c r="B38" t="s">
        <v>59</v>
      </c>
      <c r="C38" s="1">
        <f t="shared" ref="C38:J38" si="70">SUM(C31:C37)</f>
        <v>364840</v>
      </c>
      <c r="D38" s="1">
        <f t="shared" si="70"/>
        <v>359784</v>
      </c>
      <c r="E38" s="1">
        <f t="shared" si="70"/>
        <v>364552</v>
      </c>
      <c r="F38" s="1">
        <f t="shared" si="70"/>
        <v>380080</v>
      </c>
      <c r="G38" s="1">
        <f t="shared" si="70"/>
        <v>411976</v>
      </c>
      <c r="H38" s="1">
        <f t="shared" si="70"/>
        <v>445785</v>
      </c>
      <c r="I38" s="1">
        <f t="shared" si="70"/>
        <v>470558</v>
      </c>
      <c r="J38" s="1">
        <f t="shared" si="70"/>
        <v>484275</v>
      </c>
    </row>
    <row r="40" spans="2:29" x14ac:dyDescent="0.25">
      <c r="B40" t="s">
        <v>44</v>
      </c>
      <c r="C40" s="1">
        <v>19000</v>
      </c>
      <c r="D40" s="1">
        <v>16609</v>
      </c>
      <c r="E40" s="1">
        <v>15354</v>
      </c>
      <c r="F40" s="1">
        <v>15305</v>
      </c>
      <c r="G40" s="1">
        <v>18095</v>
      </c>
      <c r="H40" s="1">
        <v>19307</v>
      </c>
      <c r="I40" s="1">
        <v>17695</v>
      </c>
      <c r="J40" s="1">
        <v>18087</v>
      </c>
    </row>
    <row r="41" spans="2:29" x14ac:dyDescent="0.25">
      <c r="B41" t="s">
        <v>4</v>
      </c>
      <c r="C41" s="1">
        <f>2749+47032</f>
        <v>49781</v>
      </c>
      <c r="D41" s="1">
        <f>3248+45374</f>
        <v>48622</v>
      </c>
      <c r="E41" s="1">
        <f>3997+44119</f>
        <v>48116</v>
      </c>
      <c r="F41" s="1">
        <f>6245+41965</f>
        <v>48210</v>
      </c>
      <c r="G41" s="1">
        <f>5247+41990</f>
        <v>47237</v>
      </c>
      <c r="H41" s="1">
        <f>25808+3748+41946</f>
        <v>71502</v>
      </c>
      <c r="I41" s="1">
        <f>27041+2250+44928</f>
        <v>74219</v>
      </c>
      <c r="J41" s="1">
        <f>20535+2249+42658</f>
        <v>65442</v>
      </c>
    </row>
    <row r="42" spans="2:29" x14ac:dyDescent="0.25">
      <c r="B42" t="s">
        <v>45</v>
      </c>
      <c r="C42" s="1">
        <v>10661</v>
      </c>
      <c r="D42" s="1">
        <v>7405</v>
      </c>
      <c r="E42" s="1">
        <v>9030</v>
      </c>
      <c r="F42" s="1">
        <v>10411</v>
      </c>
      <c r="G42" s="1">
        <v>11009</v>
      </c>
      <c r="H42" s="1">
        <v>6990</v>
      </c>
      <c r="I42" s="1">
        <v>8813</v>
      </c>
      <c r="J42" s="1">
        <v>10432</v>
      </c>
    </row>
    <row r="43" spans="2:29" x14ac:dyDescent="0.25">
      <c r="B43" t="s">
        <v>29</v>
      </c>
      <c r="C43" s="1">
        <f>4067+26069</f>
        <v>30136</v>
      </c>
      <c r="D43" s="1">
        <f>6729+23712</f>
        <v>30441</v>
      </c>
      <c r="E43" s="1">
        <f>3553+24169</f>
        <v>27722</v>
      </c>
      <c r="F43" s="1">
        <f>4163+25000</f>
        <v>29163</v>
      </c>
      <c r="G43" s="1">
        <f>4152+25560</f>
        <v>29712</v>
      </c>
      <c r="H43" s="1">
        <f>8035+22983</f>
        <v>31018</v>
      </c>
      <c r="I43" s="1">
        <f>5787+25890</f>
        <v>31677</v>
      </c>
      <c r="J43" s="1">
        <f>7311+26786</f>
        <v>34097</v>
      </c>
    </row>
    <row r="44" spans="2:29" x14ac:dyDescent="0.25">
      <c r="B44" t="s">
        <v>46</v>
      </c>
      <c r="C44" s="1">
        <f>45538+2870</f>
        <v>48408</v>
      </c>
      <c r="D44" s="1">
        <f>41340+2549</f>
        <v>43889</v>
      </c>
      <c r="E44" s="1">
        <f>36982+2644</f>
        <v>39626</v>
      </c>
      <c r="F44" s="1">
        <f>36903+2698</f>
        <v>39601</v>
      </c>
      <c r="G44" s="1">
        <f>50901+2912</f>
        <v>53813</v>
      </c>
      <c r="H44" s="1">
        <f>46429+2759</f>
        <v>49188</v>
      </c>
      <c r="I44" s="1">
        <f>43068+2966</f>
        <v>46034</v>
      </c>
      <c r="J44" s="1">
        <f>41888+2945</f>
        <v>44833</v>
      </c>
    </row>
    <row r="45" spans="2:29" x14ac:dyDescent="0.25">
      <c r="B45" t="s">
        <v>47</v>
      </c>
      <c r="C45" s="1">
        <v>13067</v>
      </c>
      <c r="D45" s="1">
        <v>12058</v>
      </c>
      <c r="E45" s="1">
        <v>12802</v>
      </c>
      <c r="F45" s="1">
        <v>12664</v>
      </c>
      <c r="G45" s="1">
        <v>14745</v>
      </c>
      <c r="H45" s="1">
        <v>14475</v>
      </c>
      <c r="I45" s="1">
        <v>16362</v>
      </c>
      <c r="J45" s="1">
        <f>18023</f>
        <v>18023</v>
      </c>
    </row>
    <row r="46" spans="2:29" x14ac:dyDescent="0.25">
      <c r="B46" t="s">
        <v>40</v>
      </c>
      <c r="C46" s="1">
        <v>230</v>
      </c>
      <c r="D46" s="1">
        <v>223</v>
      </c>
      <c r="E46" s="1">
        <v>289</v>
      </c>
      <c r="F46" s="1">
        <v>302</v>
      </c>
      <c r="G46" s="1">
        <v>433</v>
      </c>
      <c r="H46" s="1">
        <v>470</v>
      </c>
      <c r="I46" s="1">
        <v>2548</v>
      </c>
      <c r="J46" s="1">
        <v>2469</v>
      </c>
    </row>
    <row r="47" spans="2:29" x14ac:dyDescent="0.25">
      <c r="B47" t="s">
        <v>48</v>
      </c>
      <c r="C47" s="1">
        <v>15526</v>
      </c>
      <c r="D47" s="1">
        <v>15311</v>
      </c>
      <c r="E47" s="1">
        <v>16479</v>
      </c>
      <c r="F47" s="1">
        <v>17437</v>
      </c>
      <c r="G47" s="1">
        <v>17981</v>
      </c>
      <c r="H47" s="1">
        <v>18634</v>
      </c>
      <c r="I47" s="1">
        <v>20787</v>
      </c>
      <c r="J47" s="1">
        <f>23271</f>
        <v>23271</v>
      </c>
    </row>
    <row r="48" spans="2:29" x14ac:dyDescent="0.25">
      <c r="B48" t="s">
        <v>49</v>
      </c>
      <c r="C48" s="1">
        <v>11489</v>
      </c>
      <c r="D48" s="1">
        <v>11660</v>
      </c>
      <c r="E48" s="1">
        <v>11998</v>
      </c>
      <c r="F48" s="1">
        <v>12312</v>
      </c>
      <c r="G48" s="1">
        <v>12728</v>
      </c>
      <c r="H48" s="1">
        <v>13487</v>
      </c>
      <c r="I48" s="1">
        <v>14155</v>
      </c>
      <c r="J48" s="1">
        <v>14469</v>
      </c>
    </row>
    <row r="49" spans="2:17" x14ac:dyDescent="0.25">
      <c r="B49" t="s">
        <v>50</v>
      </c>
      <c r="C49" s="1">
        <f t="shared" ref="C49:J49" si="71">SUM(C40:C48)</f>
        <v>198298</v>
      </c>
      <c r="D49" s="1">
        <f t="shared" si="71"/>
        <v>186218</v>
      </c>
      <c r="E49" s="1">
        <f t="shared" si="71"/>
        <v>181416</v>
      </c>
      <c r="F49" s="1">
        <f t="shared" si="71"/>
        <v>185405</v>
      </c>
      <c r="G49" s="1">
        <f t="shared" si="71"/>
        <v>205753</v>
      </c>
      <c r="H49" s="1">
        <f t="shared" si="71"/>
        <v>225071</v>
      </c>
      <c r="I49" s="1">
        <f t="shared" si="71"/>
        <v>232290</v>
      </c>
      <c r="J49" s="1">
        <f t="shared" si="71"/>
        <v>231123</v>
      </c>
    </row>
    <row r="52" spans="2:17" s="6" customFormat="1" x14ac:dyDescent="0.25">
      <c r="B52" s="6" t="s">
        <v>52</v>
      </c>
      <c r="C52" s="7">
        <f>C18</f>
        <v>16740</v>
      </c>
      <c r="D52" s="7">
        <f>D18</f>
        <v>17558</v>
      </c>
      <c r="E52" s="7">
        <f>E18</f>
        <v>16425</v>
      </c>
      <c r="F52" s="7">
        <f>F18</f>
        <v>18302</v>
      </c>
      <c r="G52" s="7">
        <f>G18</f>
        <v>20081</v>
      </c>
      <c r="H52" s="7">
        <f>+H18</f>
        <v>22291</v>
      </c>
      <c r="I52" s="7">
        <f>I18</f>
        <v>21870</v>
      </c>
      <c r="J52" s="7">
        <f>J18</f>
        <v>21939</v>
      </c>
      <c r="K52" s="7"/>
      <c r="L52" s="7"/>
      <c r="M52" s="7"/>
      <c r="N52" s="7"/>
      <c r="O52" s="7"/>
      <c r="P52" s="7"/>
      <c r="Q52" s="7"/>
    </row>
    <row r="53" spans="2:17" x14ac:dyDescent="0.25">
      <c r="B53" t="s">
        <v>53</v>
      </c>
      <c r="C53" s="1">
        <v>16740</v>
      </c>
      <c r="D53" s="1">
        <v>17556</v>
      </c>
      <c r="E53" s="1">
        <v>16425</v>
      </c>
      <c r="F53" s="1">
        <v>18299</v>
      </c>
      <c r="G53" s="1">
        <v>20081</v>
      </c>
      <c r="H53" s="1">
        <v>22291</v>
      </c>
      <c r="I53" s="1">
        <v>21870</v>
      </c>
      <c r="J53" s="1">
        <v>21939</v>
      </c>
    </row>
    <row r="54" spans="2:17" x14ac:dyDescent="0.25">
      <c r="B54" t="s">
        <v>54</v>
      </c>
      <c r="C54" s="1">
        <v>3979</v>
      </c>
      <c r="D54" s="1">
        <v>2790</v>
      </c>
      <c r="E54" s="1">
        <v>3648</v>
      </c>
      <c r="F54" s="1">
        <v>3549</v>
      </c>
      <c r="G54" s="1">
        <v>3874</v>
      </c>
      <c r="H54" s="1">
        <v>3921</v>
      </c>
      <c r="I54" s="1">
        <v>5959</v>
      </c>
      <c r="J54" s="1">
        <v>6027</v>
      </c>
    </row>
    <row r="55" spans="2:17" x14ac:dyDescent="0.25">
      <c r="B55" t="s">
        <v>56</v>
      </c>
      <c r="C55" s="1">
        <v>1997</v>
      </c>
      <c r="D55" s="1">
        <v>2192</v>
      </c>
      <c r="E55" s="1">
        <v>2538</v>
      </c>
      <c r="F55" s="1">
        <v>2465</v>
      </c>
      <c r="G55" s="1">
        <v>2416</v>
      </c>
      <c r="H55" s="1">
        <v>2507</v>
      </c>
      <c r="I55" s="1">
        <v>2828</v>
      </c>
      <c r="J55" s="1">
        <v>2703</v>
      </c>
    </row>
    <row r="56" spans="2:17" x14ac:dyDescent="0.25">
      <c r="B56" t="s">
        <v>57</v>
      </c>
      <c r="C56" s="1">
        <v>157</v>
      </c>
      <c r="D56" s="1">
        <v>-22</v>
      </c>
      <c r="E56" s="1">
        <v>214</v>
      </c>
      <c r="F56" s="1">
        <v>-40</v>
      </c>
      <c r="G56" s="1">
        <v>44</v>
      </c>
      <c r="H56" s="1">
        <v>14</v>
      </c>
      <c r="I56" s="1">
        <v>198</v>
      </c>
      <c r="J56" s="1">
        <v>49</v>
      </c>
    </row>
    <row r="57" spans="2:17" x14ac:dyDescent="0.25">
      <c r="B57" t="s">
        <v>40</v>
      </c>
      <c r="C57" s="1">
        <v>283</v>
      </c>
      <c r="D57" s="1">
        <v>-1191</v>
      </c>
      <c r="E57" s="1">
        <v>-1305</v>
      </c>
      <c r="F57" s="1">
        <v>-1675</v>
      </c>
      <c r="G57" s="1">
        <v>-1888</v>
      </c>
      <c r="H57" s="1">
        <v>-568</v>
      </c>
      <c r="I57" s="1">
        <v>-1702</v>
      </c>
      <c r="J57" s="1">
        <v>-1323</v>
      </c>
    </row>
    <row r="58" spans="2:17" x14ac:dyDescent="0.25">
      <c r="B58" t="s">
        <v>37</v>
      </c>
      <c r="C58" s="1">
        <v>-12634</v>
      </c>
      <c r="D58" s="1">
        <v>11729</v>
      </c>
      <c r="E58" s="1">
        <v>-3164</v>
      </c>
      <c r="F58" s="1">
        <v>-1408</v>
      </c>
      <c r="G58" s="1">
        <v>-11244</v>
      </c>
      <c r="H58" s="1">
        <v>11034</v>
      </c>
      <c r="I58" s="1">
        <v>-2951</v>
      </c>
      <c r="J58" s="1">
        <v>-2028</v>
      </c>
    </row>
    <row r="59" spans="2:17" x14ac:dyDescent="0.25">
      <c r="B59" t="s">
        <v>38</v>
      </c>
      <c r="C59" s="1">
        <v>-461</v>
      </c>
      <c r="D59" s="1">
        <v>-543</v>
      </c>
      <c r="E59" s="1">
        <v>1305</v>
      </c>
      <c r="F59" s="1">
        <v>106</v>
      </c>
      <c r="G59" s="1">
        <v>374</v>
      </c>
      <c r="H59" s="1">
        <v>-505</v>
      </c>
      <c r="I59" s="1">
        <v>1474</v>
      </c>
      <c r="J59" s="1">
        <v>260</v>
      </c>
    </row>
    <row r="60" spans="2:17" x14ac:dyDescent="0.25">
      <c r="B60" t="s">
        <v>58</v>
      </c>
      <c r="C60" s="1">
        <v>-2570</v>
      </c>
      <c r="D60" s="1">
        <v>-332</v>
      </c>
      <c r="E60" s="1">
        <v>-392</v>
      </c>
      <c r="F60" s="1">
        <v>1152</v>
      </c>
      <c r="G60" s="1">
        <v>-2419</v>
      </c>
      <c r="H60" s="1">
        <v>-796</v>
      </c>
      <c r="I60" s="1">
        <v>725</v>
      </c>
      <c r="J60" s="1">
        <v>951</v>
      </c>
    </row>
    <row r="61" spans="2:17" x14ac:dyDescent="0.25">
      <c r="B61" t="s">
        <v>43</v>
      </c>
      <c r="C61" s="1">
        <v>-575</v>
      </c>
      <c r="D61" s="1">
        <v>-666</v>
      </c>
      <c r="E61" s="1">
        <v>-65</v>
      </c>
      <c r="F61" s="1">
        <v>-554</v>
      </c>
      <c r="G61" s="1">
        <v>-1548</v>
      </c>
      <c r="H61" s="1">
        <v>-2013</v>
      </c>
      <c r="I61" s="1">
        <v>-1427</v>
      </c>
      <c r="J61" s="1">
        <v>-2137</v>
      </c>
    </row>
    <row r="62" spans="2:17" x14ac:dyDescent="0.25">
      <c r="B62" t="s">
        <v>44</v>
      </c>
      <c r="C62" s="1">
        <v>2659</v>
      </c>
      <c r="D62" s="1">
        <v>-1567</v>
      </c>
      <c r="E62" s="1">
        <v>-2058</v>
      </c>
      <c r="F62" s="1">
        <v>-407</v>
      </c>
      <c r="G62" s="1">
        <v>1311</v>
      </c>
      <c r="H62" s="1">
        <v>1214</v>
      </c>
      <c r="I62" s="1">
        <v>-2521</v>
      </c>
      <c r="J62" s="1">
        <v>648</v>
      </c>
    </row>
    <row r="63" spans="2:17" x14ac:dyDescent="0.25">
      <c r="B63" t="s">
        <v>46</v>
      </c>
      <c r="C63" s="1">
        <v>12546</v>
      </c>
      <c r="D63" s="1">
        <v>-3322</v>
      </c>
      <c r="E63" s="1">
        <v>-5186</v>
      </c>
      <c r="F63" s="1">
        <v>-181</v>
      </c>
      <c r="G63" s="1">
        <v>14224</v>
      </c>
      <c r="H63" s="1">
        <v>-4126</v>
      </c>
      <c r="I63" s="1">
        <v>-5538</v>
      </c>
      <c r="J63" s="1">
        <v>-645</v>
      </c>
    </row>
    <row r="64" spans="2:17" x14ac:dyDescent="0.25">
      <c r="B64" t="s">
        <v>29</v>
      </c>
      <c r="C64" s="1">
        <v>-991</v>
      </c>
      <c r="D64" s="1">
        <v>410</v>
      </c>
      <c r="E64" s="1">
        <v>-2863</v>
      </c>
      <c r="F64" s="1">
        <v>1414</v>
      </c>
      <c r="G64" s="1">
        <v>681</v>
      </c>
      <c r="H64" s="1">
        <v>1425</v>
      </c>
      <c r="I64" s="1">
        <v>-1554</v>
      </c>
      <c r="J64" s="1">
        <v>2622</v>
      </c>
    </row>
    <row r="65" spans="2:17" x14ac:dyDescent="0.25">
      <c r="B65" t="s">
        <v>47</v>
      </c>
      <c r="C65" s="1">
        <v>3455</v>
      </c>
      <c r="D65" s="1">
        <v>-4024</v>
      </c>
      <c r="E65" s="1">
        <v>1819</v>
      </c>
      <c r="F65" s="1">
        <v>1715</v>
      </c>
      <c r="G65" s="1">
        <v>2762</v>
      </c>
      <c r="H65" s="1">
        <v>-4106</v>
      </c>
      <c r="I65" s="1">
        <v>1518</v>
      </c>
      <c r="J65" s="1">
        <v>2803</v>
      </c>
    </row>
    <row r="66" spans="2:17" x14ac:dyDescent="0.25">
      <c r="B66" t="s">
        <v>48</v>
      </c>
      <c r="C66" s="1">
        <v>44</v>
      </c>
      <c r="D66" s="1">
        <v>188</v>
      </c>
      <c r="E66" s="1">
        <v>257</v>
      </c>
      <c r="F66" s="1">
        <v>6</v>
      </c>
      <c r="G66" s="1">
        <v>102</v>
      </c>
      <c r="H66" s="1">
        <v>291</v>
      </c>
      <c r="I66" s="1">
        <v>-26</v>
      </c>
      <c r="J66" s="1">
        <v>48</v>
      </c>
    </row>
    <row r="67" spans="2:17" s="6" customFormat="1" x14ac:dyDescent="0.25">
      <c r="B67" s="6" t="s">
        <v>55</v>
      </c>
      <c r="C67" s="7">
        <f t="shared" ref="C67:J67" si="72">SUM(C53:C66)</f>
        <v>24629</v>
      </c>
      <c r="D67" s="7">
        <f t="shared" si="72"/>
        <v>23198</v>
      </c>
      <c r="E67" s="7">
        <f t="shared" si="72"/>
        <v>11173</v>
      </c>
      <c r="F67" s="7">
        <f t="shared" si="72"/>
        <v>24441</v>
      </c>
      <c r="G67" s="7">
        <f t="shared" si="72"/>
        <v>28770</v>
      </c>
      <c r="H67" s="7">
        <f t="shared" si="72"/>
        <v>30583</v>
      </c>
      <c r="I67" s="7">
        <f t="shared" si="72"/>
        <v>18853</v>
      </c>
      <c r="J67" s="7">
        <f t="shared" si="72"/>
        <v>31917</v>
      </c>
      <c r="K67" s="7"/>
      <c r="L67" s="7"/>
      <c r="M67" s="7"/>
      <c r="N67" s="7"/>
      <c r="O67" s="7"/>
      <c r="P67" s="7"/>
      <c r="Q67" s="7"/>
    </row>
    <row r="69" spans="2:17" x14ac:dyDescent="0.25">
      <c r="B69" t="s">
        <v>60</v>
      </c>
      <c r="C69" s="1">
        <v>6871</v>
      </c>
      <c r="D69" s="1">
        <v>6283</v>
      </c>
      <c r="E69" s="1">
        <v>6274</v>
      </c>
      <c r="F69" s="1">
        <v>6607</v>
      </c>
      <c r="G69" s="1">
        <v>8943</v>
      </c>
      <c r="H69" s="1">
        <v>9917</v>
      </c>
      <c r="I69" s="1">
        <v>9735</v>
      </c>
      <c r="J69" s="1">
        <v>10952</v>
      </c>
    </row>
    <row r="70" spans="2:17" x14ac:dyDescent="0.25">
      <c r="B70" t="s">
        <v>61</v>
      </c>
      <c r="C70" s="1">
        <f t="shared" ref="C70:J70" si="73">C67-C69</f>
        <v>17758</v>
      </c>
      <c r="D70" s="1">
        <f>D67-D69</f>
        <v>16915</v>
      </c>
      <c r="E70" s="1">
        <f t="shared" si="73"/>
        <v>4899</v>
      </c>
      <c r="F70" s="1">
        <f>F67-D69</f>
        <v>18158</v>
      </c>
      <c r="G70" s="1">
        <f t="shared" si="73"/>
        <v>19827</v>
      </c>
      <c r="H70" s="1">
        <f t="shared" si="73"/>
        <v>20666</v>
      </c>
      <c r="I70" s="1">
        <f t="shared" si="73"/>
        <v>9118</v>
      </c>
      <c r="J70" s="1">
        <f t="shared" si="73"/>
        <v>20965</v>
      </c>
    </row>
    <row r="71" spans="2:17" s="6" customFormat="1" x14ac:dyDescent="0.25">
      <c r="B71" s="6" t="s">
        <v>65</v>
      </c>
      <c r="C71" s="7"/>
      <c r="D71" s="7"/>
      <c r="E71" s="7"/>
      <c r="F71" s="7"/>
      <c r="G71" s="7"/>
      <c r="H71" s="7"/>
      <c r="I71" s="7">
        <f>SUM(F70:I70)</f>
        <v>67769</v>
      </c>
      <c r="J71" s="7"/>
      <c r="K71" s="7"/>
      <c r="L71" s="7"/>
      <c r="M71" s="7"/>
      <c r="N71" s="7"/>
      <c r="O71" s="7"/>
      <c r="P71" s="7"/>
      <c r="Q71" s="7"/>
    </row>
    <row r="72" spans="2:17" s="6" customFormat="1" x14ac:dyDescent="0.25">
      <c r="B72" s="6" t="s">
        <v>66</v>
      </c>
      <c r="C72" s="7"/>
      <c r="D72" s="7"/>
      <c r="E72" s="7"/>
      <c r="F72" s="7"/>
      <c r="G72" s="7"/>
      <c r="H72" s="7"/>
      <c r="I72" s="7">
        <f>SUM(F52:I52)</f>
        <v>82544</v>
      </c>
      <c r="J72" s="7"/>
      <c r="K72" s="7"/>
      <c r="L72" s="7"/>
      <c r="M72" s="7"/>
      <c r="N72" s="7"/>
      <c r="O72" s="7"/>
      <c r="P72" s="7"/>
      <c r="Q72" s="7"/>
    </row>
    <row r="74" spans="2:17" x14ac:dyDescent="0.25">
      <c r="B74" t="s">
        <v>62</v>
      </c>
      <c r="C74" s="1">
        <v>-1263</v>
      </c>
      <c r="D74" s="1">
        <v>-349</v>
      </c>
      <c r="E74" s="1">
        <v>-679</v>
      </c>
      <c r="F74" s="1">
        <v>-301</v>
      </c>
      <c r="G74" s="1">
        <v>-341</v>
      </c>
      <c r="H74" s="1">
        <v>-1186</v>
      </c>
      <c r="I74" s="1">
        <v>-65029</v>
      </c>
      <c r="J74" s="1">
        <v>-1575</v>
      </c>
    </row>
    <row r="75" spans="2:17" x14ac:dyDescent="0.25">
      <c r="B75" t="s">
        <v>63</v>
      </c>
      <c r="C75" s="1">
        <f>-8757+461</f>
        <v>-8296</v>
      </c>
      <c r="D75" s="1">
        <f>-5013+6662</f>
        <v>1649</v>
      </c>
      <c r="E75" s="1">
        <f>-5459+243</f>
        <v>-5216</v>
      </c>
      <c r="F75" s="1">
        <f>536-5509</f>
        <v>-4973</v>
      </c>
      <c r="G75" s="1">
        <f>-5704+512</f>
        <v>-5192</v>
      </c>
      <c r="H75" s="1">
        <f>-4831+685</f>
        <v>-4146</v>
      </c>
      <c r="I75" s="1">
        <f>261-4000</f>
        <v>-3739</v>
      </c>
      <c r="J75" s="1">
        <f>522-4213</f>
        <v>-3691</v>
      </c>
    </row>
    <row r="76" spans="2:17" x14ac:dyDescent="0.25">
      <c r="B76" t="s">
        <v>64</v>
      </c>
      <c r="C76" s="1">
        <v>-4632</v>
      </c>
      <c r="D76" s="1">
        <v>-4621</v>
      </c>
      <c r="E76" s="1">
        <v>-5066</v>
      </c>
      <c r="F76" s="1">
        <v>-5059</v>
      </c>
      <c r="G76" s="1">
        <v>-5054</v>
      </c>
      <c r="H76" s="1">
        <v>-5051</v>
      </c>
      <c r="I76" s="1">
        <v>5574</v>
      </c>
      <c r="J76" s="1">
        <v>-5572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bakhrom mansurov</dc:creator>
  <cp:lastModifiedBy>bakhrom mansurov</cp:lastModifiedBy>
  <dcterms:created xsi:type="dcterms:W3CDTF">2015-06-05T18:17:20Z</dcterms:created>
  <dcterms:modified xsi:type="dcterms:W3CDTF">2024-05-20T13:34:15Z</dcterms:modified>
</cp:coreProperties>
</file>