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50809ad8919981a3/Рабочий стол/Financial Modelling/"/>
    </mc:Choice>
  </mc:AlternateContent>
  <xr:revisionPtr revIDLastSave="451" documentId="11_F25DC773A252ABDACC10480A611F4EDE5ADE58F3" xr6:coauthVersionLast="47" xr6:coauthVersionMax="47" xr10:uidLastSave="{F3404317-2E67-4526-AA5D-F8F9E4616247}"/>
  <bookViews>
    <workbookView xWindow="-120" yWindow="-120" windowWidth="20730" windowHeight="1176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2" l="1"/>
  <c r="Q28" i="2" s="1"/>
  <c r="Q7" i="2"/>
  <c r="Q29" i="2" s="1"/>
  <c r="O29" i="2"/>
  <c r="N29" i="2"/>
  <c r="M29" i="2"/>
  <c r="P29" i="2"/>
  <c r="R19" i="2" l="1"/>
  <c r="S19" i="2" s="1"/>
  <c r="T19" i="2" s="1"/>
  <c r="U19" i="2" s="1"/>
  <c r="V19" i="2" s="1"/>
  <c r="W19" i="2" s="1"/>
  <c r="W28" i="2" s="1"/>
  <c r="R28" i="2"/>
  <c r="Q24" i="2"/>
  <c r="R7" i="2"/>
  <c r="R24" i="2" s="1"/>
  <c r="S7" i="2"/>
  <c r="N28" i="2"/>
  <c r="N24" i="2"/>
  <c r="M16" i="2"/>
  <c r="M7" i="2"/>
  <c r="M9" i="2" s="1"/>
  <c r="O21" i="2"/>
  <c r="N21" i="2"/>
  <c r="O20" i="2"/>
  <c r="N20" i="2"/>
  <c r="I5" i="1"/>
  <c r="P20" i="2"/>
  <c r="P21" i="2"/>
  <c r="O28" i="2"/>
  <c r="O24" i="2"/>
  <c r="N16" i="2"/>
  <c r="N7" i="2"/>
  <c r="N9" i="2" s="1"/>
  <c r="O16" i="2"/>
  <c r="O7" i="2"/>
  <c r="O9" i="2" s="1"/>
  <c r="P16" i="2"/>
  <c r="P7" i="2"/>
  <c r="P9" i="2" s="1"/>
  <c r="P2" i="2"/>
  <c r="Q2" i="2" s="1"/>
  <c r="R2" i="2" s="1"/>
  <c r="S2" i="2" s="1"/>
  <c r="T2" i="2" s="1"/>
  <c r="U2" i="2" s="1"/>
  <c r="V2" i="2" s="1"/>
  <c r="W2" i="2" s="1"/>
  <c r="O2" i="2"/>
  <c r="D16" i="2"/>
  <c r="D7" i="2"/>
  <c r="H16" i="2"/>
  <c r="H7" i="2"/>
  <c r="H9" i="2" s="1"/>
  <c r="G16" i="2"/>
  <c r="K16" i="2"/>
  <c r="J16" i="2"/>
  <c r="I16" i="2"/>
  <c r="I7" i="2"/>
  <c r="I9" i="2" s="1"/>
  <c r="E16" i="2"/>
  <c r="E7" i="2"/>
  <c r="E9" i="2" s="1"/>
  <c r="J7" i="2"/>
  <c r="J9" i="2" s="1"/>
  <c r="G7" i="2"/>
  <c r="G9" i="2" s="1"/>
  <c r="K7" i="2"/>
  <c r="K9" i="2" s="1"/>
  <c r="K13" i="2" s="1"/>
  <c r="K26" i="2" s="1"/>
  <c r="I11" i="1"/>
  <c r="H11" i="1"/>
  <c r="H5" i="1"/>
  <c r="H8" i="1" s="1"/>
  <c r="H12" i="1"/>
  <c r="H13" i="1" s="1"/>
  <c r="H10" i="1"/>
  <c r="H9" i="1"/>
  <c r="V28" i="2" l="1"/>
  <c r="U7" i="2"/>
  <c r="U24" i="2" s="1"/>
  <c r="W7" i="2"/>
  <c r="W29" i="2" s="1"/>
  <c r="U28" i="2"/>
  <c r="T7" i="2"/>
  <c r="V7" i="2"/>
  <c r="S28" i="2"/>
  <c r="T28" i="2"/>
  <c r="T29" i="2"/>
  <c r="T24" i="2"/>
  <c r="W24" i="2"/>
  <c r="V29" i="2"/>
  <c r="S29" i="2"/>
  <c r="S24" i="2"/>
  <c r="R29" i="2"/>
  <c r="M13" i="2"/>
  <c r="M25" i="2"/>
  <c r="M20" i="2"/>
  <c r="N25" i="2"/>
  <c r="N13" i="2"/>
  <c r="H24" i="2"/>
  <c r="P24" i="2"/>
  <c r="P13" i="2"/>
  <c r="P25" i="2"/>
  <c r="O13" i="2"/>
  <c r="O25" i="2"/>
  <c r="D9" i="2"/>
  <c r="H25" i="2"/>
  <c r="H13" i="2"/>
  <c r="K24" i="2"/>
  <c r="K17" i="2"/>
  <c r="K27" i="2" s="1"/>
  <c r="K25" i="2"/>
  <c r="I24" i="2"/>
  <c r="I13" i="2"/>
  <c r="I25" i="2"/>
  <c r="E25" i="2"/>
  <c r="E13" i="2"/>
  <c r="J13" i="2"/>
  <c r="J25" i="2"/>
  <c r="G25" i="2"/>
  <c r="G13" i="2"/>
  <c r="V24" i="2" l="1"/>
  <c r="U29" i="2"/>
  <c r="M17" i="2"/>
  <c r="M26" i="2"/>
  <c r="N26" i="2"/>
  <c r="N17" i="2"/>
  <c r="P26" i="2"/>
  <c r="P17" i="2"/>
  <c r="O26" i="2"/>
  <c r="O17" i="2"/>
  <c r="D25" i="2"/>
  <c r="D13" i="2"/>
  <c r="H26" i="2"/>
  <c r="H17" i="2"/>
  <c r="K19" i="2"/>
  <c r="I26" i="2"/>
  <c r="I17" i="2"/>
  <c r="E17" i="2"/>
  <c r="E26" i="2"/>
  <c r="J17" i="2"/>
  <c r="J26" i="2"/>
  <c r="G26" i="2"/>
  <c r="G17" i="2"/>
  <c r="M19" i="2" l="1"/>
  <c r="M21" i="2" s="1"/>
  <c r="M27" i="2"/>
  <c r="N27" i="2"/>
  <c r="N19" i="2"/>
  <c r="P27" i="2"/>
  <c r="P19" i="2"/>
  <c r="O27" i="2"/>
  <c r="O19" i="2"/>
  <c r="D26" i="2"/>
  <c r="D17" i="2"/>
  <c r="H19" i="2"/>
  <c r="H27" i="2"/>
  <c r="I27" i="2"/>
  <c r="I19" i="2"/>
  <c r="E27" i="2"/>
  <c r="E19" i="2"/>
  <c r="J19" i="2"/>
  <c r="J27" i="2"/>
  <c r="G27" i="2"/>
  <c r="G19" i="2"/>
  <c r="P28" i="2" l="1"/>
  <c r="D27" i="2"/>
  <c r="D19" i="2"/>
</calcChain>
</file>

<file path=xl/sharedStrings.xml><?xml version="1.0" encoding="utf-8"?>
<sst xmlns="http://schemas.openxmlformats.org/spreadsheetml/2006/main" count="44" uniqueCount="44">
  <si>
    <t>Price</t>
  </si>
  <si>
    <t>Shares</t>
  </si>
  <si>
    <t>EV</t>
  </si>
  <si>
    <t>Cash RMB</t>
  </si>
  <si>
    <t>Debt RMB</t>
  </si>
  <si>
    <t>Net Cash USD</t>
  </si>
  <si>
    <t>Net Cash RMB</t>
  </si>
  <si>
    <t>MC RMB</t>
  </si>
  <si>
    <t>MC USD</t>
  </si>
  <si>
    <t>Revenue</t>
  </si>
  <si>
    <t>VAS</t>
  </si>
  <si>
    <t>FinTech</t>
  </si>
  <si>
    <t>Others</t>
  </si>
  <si>
    <t xml:space="preserve">Advertising 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</si>
  <si>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</si>
  <si>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</si>
  <si>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</si>
  <si>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</si>
  <si>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</si>
  <si>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</si>
  <si>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</si>
  <si>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</si>
  <si>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</si>
  <si>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RMB</t>
  </si>
  <si>
    <t>Gross Margin</t>
  </si>
  <si>
    <t>Gross Profit</t>
  </si>
  <si>
    <t>Revenue y/y</t>
  </si>
  <si>
    <t>S&amp;M</t>
  </si>
  <si>
    <t>G&amp;A</t>
  </si>
  <si>
    <t>Operating Income</t>
  </si>
  <si>
    <t>Operating Margin</t>
  </si>
  <si>
    <t>Interest Income</t>
  </si>
  <si>
    <t>Pretax Income</t>
  </si>
  <si>
    <t>Taxes</t>
  </si>
  <si>
    <t>Net Income</t>
  </si>
  <si>
    <t>Cost of Revenues</t>
  </si>
  <si>
    <t>Tax Rate</t>
  </si>
  <si>
    <t>Others gains</t>
  </si>
  <si>
    <t>Investment gains</t>
  </si>
  <si>
    <t>Finance Costs</t>
  </si>
  <si>
    <t>Net Income y/y</t>
  </si>
  <si>
    <t>Revenue in USD</t>
  </si>
  <si>
    <t>Net Income in USD</t>
  </si>
  <si>
    <t>Net Income/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</si>
</sst>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:I13"/>
  <sheetViews>
    <sheetView workbookViewId="0">
      <selection activeCell="I6" sqref="I6"/>
    </sheetView>
  </sheetViews>
  <sheetFormatPr defaultRowHeight="15" x14ac:dyDescent="0.25"/>
  <cols>
    <col min="7" max="7" width="14.42578125" customWidth="1"/>
    <col min="8" max="8" width="9.140625" style="1"/>
  </cols>
  <sheetData>
    <row r="1" spans="7:9" x14ac:dyDescent="0.25">
      <c r="H1"/>
    </row>
    <row r="2" spans="7:9" x14ac:dyDescent="0.25">
      <c r="H2"/>
    </row>
    <row r="3" spans="7:9" x14ac:dyDescent="0.25">
      <c r="H3"/>
    </row>
    <row r="4" spans="7:9" x14ac:dyDescent="0.25">
      <c r="H4"/>
    </row>
    <row r="5" spans="7:9" x14ac:dyDescent="0.25">
      <c r="G5" t="s">
        <v>0</v>
      </c>
      <c r="H5" s="1">
        <f>51.08*7.22</f>
        <v>368.79759999999999</v>
      </c>
      <c r="I5">
        <f>+H5*0.14</f>
        <v>51.631664000000001</v>
      </c>
    </row>
    <row r="6" spans="7:9" x14ac:dyDescent="0.25">
      <c r="G6" t="s">
        <v>1</v>
      </c>
      <c r="H6" s="1">
        <v>9452</v>
      </c>
    </row>
    <row r="7" spans="7:9" x14ac:dyDescent="0.25">
      <c r="G7" t="s">
        <v>8</v>
      </c>
      <c r="H7" s="1">
        <v>482808</v>
      </c>
    </row>
    <row r="8" spans="7:9" x14ac:dyDescent="0.25">
      <c r="G8" t="s">
        <v>7</v>
      </c>
      <c r="H8" s="1">
        <f>H5*H6</f>
        <v>3485874.9151999997</v>
      </c>
    </row>
    <row r="9" spans="7:9" x14ac:dyDescent="0.25">
      <c r="G9" t="s">
        <v>3</v>
      </c>
      <c r="H9" s="1">
        <f>161023+241510+3434+30613+250954</f>
        <v>687534</v>
      </c>
    </row>
    <row r="10" spans="7:9" x14ac:dyDescent="0.25">
      <c r="G10" t="s">
        <v>4</v>
      </c>
      <c r="H10" s="1">
        <f>153185+130974+48006+20569</f>
        <v>352734</v>
      </c>
    </row>
    <row r="11" spans="7:9" x14ac:dyDescent="0.25">
      <c r="G11" t="s">
        <v>2</v>
      </c>
      <c r="H11" s="1">
        <f>+H8-H9+H10</f>
        <v>3151074.9151999997</v>
      </c>
      <c r="I11">
        <f>+H11*0.14</f>
        <v>441150.488128</v>
      </c>
    </row>
    <row r="12" spans="7:9" x14ac:dyDescent="0.25">
      <c r="G12" t="s">
        <v>6</v>
      </c>
      <c r="H12" s="1">
        <f>H9-H10</f>
        <v>334800</v>
      </c>
    </row>
    <row r="13" spans="7:9" x14ac:dyDescent="0.25">
      <c r="G13" t="s">
        <v>5</v>
      </c>
      <c r="H13" s="1">
        <f>+H12*0.14</f>
        <v>46872.000000000007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D6151-7FF2-4391-8B07-DAC0F2D592F7}">
  <dimension ref="A1:W29"/>
  <sheetViews>
    <sheetView tabSelected="1" workbookViewId="0">
      <pane xSplit="2" ySplit="2" topLeftCell="H4" activePane="bottomRight" state="frozen"/>
      <selection pane="topRight" activeCell="C1" sqref="C1"/>
      <selection pane="bottomLeft" activeCell="A3" sqref="A3"/>
      <selection pane="bottomRight" activeCell="Q19" sqref="Q19"/>
    </sheetView>
  </sheetViews>
  <sheetFormatPr defaultRowHeight="15" x14ac:dyDescent="0.25"/>
  <cols>
    <col min="2" max="2" width="17" bestFit="1" customWidth="1"/>
    <col min="3" max="11" width="9.140625" style="1"/>
    <col min="14" max="16384" width="9.140625" style="1"/>
  </cols>
  <sheetData>
    <row r="1" spans="1:23" customFormat="1" x14ac:dyDescent="0.25"/>
    <row r="2" spans="1:23" customFormat="1" x14ac:dyDescent="0.25">
      <c r="B2" t="s">
        <v>23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M2">
        <v>2020</v>
      </c>
      <c r="N2">
        <v>2021</v>
      </c>
      <c r="O2">
        <f>N2+1</f>
        <v>2022</v>
      </c>
      <c r="P2">
        <f t="shared" ref="P2:W2" si="0">O2+1</f>
        <v>2023</v>
      </c>
      <c r="Q2">
        <f t="shared" si="0"/>
        <v>2024</v>
      </c>
      <c r="R2">
        <f t="shared" si="0"/>
        <v>2025</v>
      </c>
      <c r="S2">
        <f t="shared" si="0"/>
        <v>2026</v>
      </c>
      <c r="T2">
        <f t="shared" si="0"/>
        <v>2027</v>
      </c>
      <c r="U2">
        <f t="shared" si="0"/>
        <v>2028</v>
      </c>
      <c r="V2">
        <f t="shared" si="0"/>
        <v>2029</v>
      </c>
      <c r="W2">
        <f t="shared" si="0"/>
        <v>2030</v>
      </c>
    </row>
    <row r="3" spans="1:23" x14ac:dyDescent="0.25">
      <c r="B3" t="s">
        <v>10</v>
      </c>
      <c r="D3" s="1">
        <v>71683</v>
      </c>
      <c r="E3" s="1">
        <v>72727</v>
      </c>
      <c r="G3" s="1">
        <v>79337</v>
      </c>
      <c r="H3" s="1">
        <v>74211</v>
      </c>
      <c r="I3" s="1">
        <v>75748</v>
      </c>
      <c r="J3" s="1">
        <v>69079</v>
      </c>
      <c r="K3" s="1">
        <v>78629</v>
      </c>
      <c r="M3" s="1">
        <v>264212</v>
      </c>
      <c r="N3" s="1">
        <v>291572</v>
      </c>
      <c r="O3" s="1">
        <v>287565</v>
      </c>
      <c r="P3" s="1">
        <v>298375</v>
      </c>
    </row>
    <row r="4" spans="1:23" x14ac:dyDescent="0.25">
      <c r="B4" t="s">
        <v>13</v>
      </c>
      <c r="D4" s="1">
        <v>18638</v>
      </c>
      <c r="E4" s="1">
        <v>21443</v>
      </c>
      <c r="G4" s="1">
        <v>20964</v>
      </c>
      <c r="H4" s="1">
        <v>25003</v>
      </c>
      <c r="I4" s="1">
        <v>25721</v>
      </c>
      <c r="J4" s="1">
        <v>29794</v>
      </c>
      <c r="K4" s="1">
        <v>26506</v>
      </c>
      <c r="M4" s="1">
        <v>82271</v>
      </c>
      <c r="N4" s="1">
        <v>88666</v>
      </c>
      <c r="O4" s="1">
        <v>82729</v>
      </c>
      <c r="P4" s="1">
        <v>101482</v>
      </c>
    </row>
    <row r="5" spans="1:23" x14ac:dyDescent="0.25">
      <c r="B5" t="s">
        <v>11</v>
      </c>
      <c r="D5" s="1">
        <v>42208</v>
      </c>
      <c r="E5" s="1">
        <v>44844</v>
      </c>
      <c r="G5" s="1">
        <v>48701</v>
      </c>
      <c r="H5" s="1">
        <v>48635</v>
      </c>
      <c r="I5" s="1">
        <v>52048</v>
      </c>
      <c r="J5" s="1">
        <v>54379</v>
      </c>
      <c r="K5" s="1">
        <v>52302</v>
      </c>
      <c r="M5" s="1">
        <v>128086</v>
      </c>
      <c r="N5" s="1">
        <v>172195</v>
      </c>
      <c r="O5" s="1">
        <v>177064</v>
      </c>
      <c r="P5" s="1">
        <v>203763</v>
      </c>
    </row>
    <row r="6" spans="1:23" x14ac:dyDescent="0.25">
      <c r="B6" t="s">
        <v>12</v>
      </c>
      <c r="D6" s="1">
        <v>1505</v>
      </c>
      <c r="E6" s="1">
        <v>1079</v>
      </c>
      <c r="G6" s="1">
        <v>984</v>
      </c>
      <c r="H6" s="1">
        <v>1359</v>
      </c>
      <c r="I6" s="1">
        <v>1108</v>
      </c>
      <c r="J6" s="1">
        <v>1944</v>
      </c>
      <c r="K6" s="1">
        <v>2064</v>
      </c>
      <c r="M6" s="1">
        <v>7495</v>
      </c>
      <c r="N6" s="1">
        <v>7685</v>
      </c>
      <c r="O6" s="1">
        <v>7194</v>
      </c>
      <c r="P6" s="1">
        <v>5395</v>
      </c>
    </row>
    <row r="7" spans="1:23" s="3" customFormat="1" x14ac:dyDescent="0.25">
      <c r="A7" s="2"/>
      <c r="B7" s="2" t="s">
        <v>9</v>
      </c>
      <c r="D7" s="3">
        <f>SUM(D3:D6)</f>
        <v>134034</v>
      </c>
      <c r="E7" s="3">
        <f>SUM(E3:E6)</f>
        <v>140093</v>
      </c>
      <c r="G7" s="3">
        <f>SUM(G3:G6)</f>
        <v>149986</v>
      </c>
      <c r="H7" s="3">
        <f>SUM(H3:H6)</f>
        <v>149208</v>
      </c>
      <c r="I7" s="3">
        <f>SUM(I3:I6)</f>
        <v>154625</v>
      </c>
      <c r="J7" s="3">
        <f>SUM(J3:J6)</f>
        <v>155196</v>
      </c>
      <c r="K7" s="3">
        <f>SUM(K3:K6)</f>
        <v>159501</v>
      </c>
      <c r="M7" s="3">
        <f>SUM(M3:M6)</f>
        <v>482064</v>
      </c>
      <c r="N7" s="3">
        <f>SUM(N3:N6)</f>
        <v>560118</v>
      </c>
      <c r="O7" s="3">
        <f>SUM(O3:O6)</f>
        <v>554552</v>
      </c>
      <c r="P7" s="3">
        <f>SUM(P3:P6)</f>
        <v>609015</v>
      </c>
      <c r="Q7" s="3">
        <f>+Q19/0.3</f>
        <v>409233.06666666665</v>
      </c>
      <c r="R7" s="3">
        <f t="shared" ref="R7:W7" si="1">+R19/0.3</f>
        <v>425602.38933333335</v>
      </c>
      <c r="S7" s="3">
        <f t="shared" si="1"/>
        <v>442626.48490666674</v>
      </c>
      <c r="T7" s="3">
        <f t="shared" si="1"/>
        <v>460331.54430293344</v>
      </c>
      <c r="U7" s="3">
        <f t="shared" si="1"/>
        <v>478744.80607505073</v>
      </c>
      <c r="V7" s="3">
        <f t="shared" si="1"/>
        <v>497894.59831805283</v>
      </c>
      <c r="W7" s="3">
        <f t="shared" si="1"/>
        <v>517810.38225077494</v>
      </c>
    </row>
    <row r="8" spans="1:23" s="7" customFormat="1" x14ac:dyDescent="0.25">
      <c r="A8" s="6"/>
      <c r="B8" s="6" t="s">
        <v>35</v>
      </c>
      <c r="D8" s="7">
        <v>76167</v>
      </c>
      <c r="E8" s="7">
        <v>78110</v>
      </c>
      <c r="G8" s="7">
        <v>81804</v>
      </c>
      <c r="H8" s="7">
        <v>78368</v>
      </c>
      <c r="I8" s="7">
        <v>78102</v>
      </c>
      <c r="J8" s="7">
        <v>77632</v>
      </c>
      <c r="K8" s="7">
        <v>75631</v>
      </c>
      <c r="M8" s="7">
        <v>260532</v>
      </c>
      <c r="N8" s="7">
        <v>314174</v>
      </c>
      <c r="O8" s="7">
        <v>315806</v>
      </c>
      <c r="P8" s="7">
        <v>315906</v>
      </c>
    </row>
    <row r="9" spans="1:23" x14ac:dyDescent="0.25">
      <c r="B9" t="s">
        <v>25</v>
      </c>
      <c r="D9" s="1">
        <f>D7-D8</f>
        <v>57867</v>
      </c>
      <c r="E9" s="1">
        <f>E7-E8</f>
        <v>61983</v>
      </c>
      <c r="G9" s="1">
        <f>G7-G8</f>
        <v>68182</v>
      </c>
      <c r="H9" s="1">
        <f>H7-H8</f>
        <v>70840</v>
      </c>
      <c r="I9" s="1">
        <f>I7-I8</f>
        <v>76523</v>
      </c>
      <c r="J9" s="1">
        <f>J7-J8</f>
        <v>77564</v>
      </c>
      <c r="K9" s="1">
        <f>K7-K8</f>
        <v>83870</v>
      </c>
      <c r="M9" s="1">
        <f>M7-M8</f>
        <v>221532</v>
      </c>
      <c r="N9" s="1">
        <f>N7-N8</f>
        <v>245944</v>
      </c>
      <c r="O9" s="1">
        <f>O7-O8</f>
        <v>238746</v>
      </c>
      <c r="P9" s="1">
        <f>P7-P8</f>
        <v>293109</v>
      </c>
    </row>
    <row r="10" spans="1:23" x14ac:dyDescent="0.25">
      <c r="B10" t="s">
        <v>27</v>
      </c>
      <c r="D10" s="1">
        <v>7932</v>
      </c>
      <c r="E10" s="1">
        <v>7124</v>
      </c>
      <c r="G10" s="1">
        <v>7018</v>
      </c>
      <c r="H10" s="1">
        <v>8310</v>
      </c>
      <c r="I10" s="1">
        <v>7912</v>
      </c>
      <c r="J10" s="1">
        <v>10971</v>
      </c>
      <c r="K10" s="1">
        <v>7536</v>
      </c>
      <c r="M10" s="1">
        <v>33758</v>
      </c>
      <c r="N10" s="1">
        <v>40594</v>
      </c>
      <c r="O10" s="1">
        <v>29229</v>
      </c>
      <c r="P10" s="1">
        <v>34211</v>
      </c>
    </row>
    <row r="11" spans="1:23" x14ac:dyDescent="0.25">
      <c r="B11" t="s">
        <v>28</v>
      </c>
      <c r="D11" s="1">
        <v>26233</v>
      </c>
      <c r="E11" s="1">
        <v>26480</v>
      </c>
      <c r="G11" s="1">
        <v>24642</v>
      </c>
      <c r="H11" s="1">
        <v>25419</v>
      </c>
      <c r="I11" s="1">
        <v>26289</v>
      </c>
      <c r="J11" s="1">
        <v>27175</v>
      </c>
      <c r="K11" s="1">
        <v>24809</v>
      </c>
      <c r="M11" s="1">
        <v>67625</v>
      </c>
      <c r="N11" s="1">
        <v>89847</v>
      </c>
      <c r="O11" s="1">
        <v>106696</v>
      </c>
      <c r="P11" s="1">
        <v>103525</v>
      </c>
    </row>
    <row r="12" spans="1:23" x14ac:dyDescent="0.25">
      <c r="B12" t="s">
        <v>37</v>
      </c>
      <c r="D12" s="1">
        <v>4420</v>
      </c>
      <c r="E12" s="1">
        <v>20886</v>
      </c>
      <c r="G12" s="1">
        <v>1520</v>
      </c>
      <c r="H12" s="1">
        <v>-230</v>
      </c>
      <c r="I12" s="1">
        <v>2644</v>
      </c>
      <c r="J12" s="1">
        <v>1983</v>
      </c>
      <c r="K12" s="1">
        <v>1031</v>
      </c>
      <c r="M12" s="1">
        <v>57131</v>
      </c>
      <c r="N12" s="1">
        <v>149467</v>
      </c>
      <c r="O12" s="1">
        <v>8006</v>
      </c>
      <c r="P12" s="1">
        <v>4701</v>
      </c>
    </row>
    <row r="13" spans="1:23" x14ac:dyDescent="0.25">
      <c r="B13" t="s">
        <v>29</v>
      </c>
      <c r="D13" s="1">
        <f>D9-D10-D11+D12</f>
        <v>28122</v>
      </c>
      <c r="E13" s="1">
        <f>E9-E10-E11+E12</f>
        <v>49265</v>
      </c>
      <c r="G13" s="1">
        <f>G9-G10-G11+G12</f>
        <v>38042</v>
      </c>
      <c r="H13" s="1">
        <f>H9-H10-H11+H12</f>
        <v>36881</v>
      </c>
      <c r="I13" s="1">
        <f>I9-I10-I11+I12</f>
        <v>44966</v>
      </c>
      <c r="J13" s="1">
        <f>J9-J10-J11+J12</f>
        <v>41401</v>
      </c>
      <c r="K13" s="1">
        <f>K9-K10-K11+K12</f>
        <v>52556</v>
      </c>
      <c r="M13" s="1">
        <f>M9-M10-M11+M12</f>
        <v>177280</v>
      </c>
      <c r="N13" s="1">
        <f>N9-N10-N11+N12</f>
        <v>264970</v>
      </c>
      <c r="O13" s="1">
        <f>O9-O10-O11+O12</f>
        <v>110827</v>
      </c>
      <c r="P13" s="1">
        <f>P9-P10-P11+P12</f>
        <v>160074</v>
      </c>
    </row>
    <row r="14" spans="1:23" hidden="1" x14ac:dyDescent="0.25">
      <c r="B14" t="s">
        <v>38</v>
      </c>
      <c r="D14" s="1">
        <v>0</v>
      </c>
      <c r="E14" s="1">
        <v>0</v>
      </c>
      <c r="M14" s="1"/>
    </row>
    <row r="15" spans="1:23" x14ac:dyDescent="0.25">
      <c r="B15" t="s">
        <v>31</v>
      </c>
      <c r="D15" s="1">
        <v>1945</v>
      </c>
      <c r="E15" s="1">
        <v>2328</v>
      </c>
      <c r="G15" s="1">
        <v>2963</v>
      </c>
      <c r="H15" s="1">
        <v>3419</v>
      </c>
      <c r="I15" s="1">
        <v>3509</v>
      </c>
      <c r="J15" s="1">
        <v>3917</v>
      </c>
      <c r="K15" s="1">
        <v>4248</v>
      </c>
      <c r="M15" s="1">
        <v>6957</v>
      </c>
      <c r="N15" s="1">
        <v>6650</v>
      </c>
      <c r="O15" s="1">
        <v>8592</v>
      </c>
      <c r="P15" s="1">
        <v>13808</v>
      </c>
    </row>
    <row r="16" spans="1:23" x14ac:dyDescent="0.25">
      <c r="B16" t="s">
        <v>39</v>
      </c>
      <c r="D16" s="1">
        <f>-1809-4460</f>
        <v>-6269</v>
      </c>
      <c r="E16" s="1">
        <f>-1950-3697</f>
        <v>-5647</v>
      </c>
      <c r="G16" s="1">
        <f>-2650+80-576</f>
        <v>-3146</v>
      </c>
      <c r="H16" s="1">
        <f>-3291+1159</f>
        <v>-2132</v>
      </c>
      <c r="I16" s="1">
        <f>-2784+2098</f>
        <v>-686</v>
      </c>
      <c r="J16" s="1">
        <f>-3543+2463-6730</f>
        <v>-7810</v>
      </c>
      <c r="K16" s="1">
        <f>-2826+2186+656</f>
        <v>16</v>
      </c>
      <c r="M16" s="1">
        <f>-7887+3672</f>
        <v>-4215</v>
      </c>
      <c r="N16" s="1">
        <f>-7114-16444</f>
        <v>-23558</v>
      </c>
      <c r="O16" s="1">
        <f>-9352-16129+116287</f>
        <v>90806</v>
      </c>
      <c r="P16" s="1">
        <f>-6090+5800-12268</f>
        <v>-12558</v>
      </c>
    </row>
    <row r="17" spans="1:23" x14ac:dyDescent="0.25">
      <c r="B17" t="s">
        <v>32</v>
      </c>
      <c r="D17" s="1">
        <f>D13+D14+D15+D16</f>
        <v>23798</v>
      </c>
      <c r="E17" s="1">
        <f>E13+E14+E15+E16</f>
        <v>45946</v>
      </c>
      <c r="G17" s="1">
        <f>G13+G14+G15+G16</f>
        <v>37859</v>
      </c>
      <c r="H17" s="1">
        <f>H13+H14+H15+H16</f>
        <v>38168</v>
      </c>
      <c r="I17" s="1">
        <f>I13+I14+I15+I16</f>
        <v>47789</v>
      </c>
      <c r="J17" s="1">
        <f>J13+J14+J15+J16</f>
        <v>37508</v>
      </c>
      <c r="K17" s="1">
        <f>K13+K14+K15+K16</f>
        <v>56820</v>
      </c>
      <c r="M17" s="1">
        <f>M13+M15+M16</f>
        <v>180022</v>
      </c>
      <c r="N17" s="1">
        <f>N13+N15+N16</f>
        <v>248062</v>
      </c>
      <c r="O17" s="1">
        <f>O13+O15+O16</f>
        <v>210225</v>
      </c>
      <c r="P17" s="1">
        <f>P13+P15+P16</f>
        <v>161324</v>
      </c>
    </row>
    <row r="18" spans="1:23" x14ac:dyDescent="0.25">
      <c r="B18" t="s">
        <v>33</v>
      </c>
      <c r="D18" s="1">
        <v>4568</v>
      </c>
      <c r="E18" s="1">
        <v>7104</v>
      </c>
      <c r="G18" s="1">
        <v>11465</v>
      </c>
      <c r="H18" s="1">
        <v>11145</v>
      </c>
      <c r="I18" s="1">
        <v>11008</v>
      </c>
      <c r="J18" s="1">
        <v>9658</v>
      </c>
      <c r="K18" s="1">
        <v>14169</v>
      </c>
      <c r="M18" s="1">
        <v>19897</v>
      </c>
      <c r="N18" s="1">
        <v>20252</v>
      </c>
      <c r="O18" s="1">
        <v>21516</v>
      </c>
      <c r="P18" s="1">
        <v>43276</v>
      </c>
    </row>
    <row r="19" spans="1:23" s="3" customFormat="1" x14ac:dyDescent="0.25">
      <c r="A19" s="2"/>
      <c r="B19" s="2" t="s">
        <v>34</v>
      </c>
      <c r="D19" s="3">
        <f>D17-D18</f>
        <v>19230</v>
      </c>
      <c r="E19" s="3">
        <f>E17-E18</f>
        <v>38842</v>
      </c>
      <c r="G19" s="3">
        <f>G17-G18</f>
        <v>26394</v>
      </c>
      <c r="H19" s="3">
        <f>H17-H18</f>
        <v>27023</v>
      </c>
      <c r="I19" s="3">
        <f>I17-I18</f>
        <v>36781</v>
      </c>
      <c r="J19" s="3">
        <f>J17-J18</f>
        <v>27850</v>
      </c>
      <c r="K19" s="3">
        <f>K17-K18</f>
        <v>42651</v>
      </c>
      <c r="L19" s="2"/>
      <c r="M19" s="3">
        <f>M17-M18</f>
        <v>160125</v>
      </c>
      <c r="N19" s="3">
        <f>N17-N18</f>
        <v>227810</v>
      </c>
      <c r="O19" s="3">
        <f>O17-O18</f>
        <v>188709</v>
      </c>
      <c r="P19" s="3">
        <f>P17-P18</f>
        <v>118048</v>
      </c>
      <c r="Q19" s="3">
        <f>+P19*1.04</f>
        <v>122769.92</v>
      </c>
      <c r="R19" s="3">
        <f t="shared" ref="R19:W19" si="2">+Q19*1.04</f>
        <v>127680.71680000001</v>
      </c>
      <c r="S19" s="3">
        <f t="shared" si="2"/>
        <v>132787.94547200002</v>
      </c>
      <c r="T19" s="3">
        <f t="shared" si="2"/>
        <v>138099.46329088003</v>
      </c>
      <c r="U19" s="3">
        <f t="shared" si="2"/>
        <v>143623.44182251522</v>
      </c>
      <c r="V19" s="3">
        <f t="shared" si="2"/>
        <v>149368.37949541584</v>
      </c>
      <c r="W19" s="3">
        <f t="shared" si="2"/>
        <v>155343.11467523247</v>
      </c>
    </row>
    <row r="20" spans="1:23" x14ac:dyDescent="0.25">
      <c r="B20" t="s">
        <v>41</v>
      </c>
      <c r="M20" s="1">
        <f t="shared" ref="M20" si="3">+M7*0.14</f>
        <v>67488.960000000006</v>
      </c>
      <c r="N20" s="1">
        <f t="shared" ref="N20:O20" si="4">+N7*0.14</f>
        <v>78416.52</v>
      </c>
      <c r="O20" s="1">
        <f t="shared" si="4"/>
        <v>77637.280000000013</v>
      </c>
      <c r="P20" s="1">
        <f>+P7*0.14</f>
        <v>85262.1</v>
      </c>
    </row>
    <row r="21" spans="1:23" x14ac:dyDescent="0.25">
      <c r="B21" t="s">
        <v>42</v>
      </c>
      <c r="M21" s="1">
        <f t="shared" ref="M21" si="5">+M19*0.14</f>
        <v>22417.500000000004</v>
      </c>
      <c r="N21" s="1">
        <f t="shared" ref="N21:O21" si="6">+N19*0.14</f>
        <v>31893.4</v>
      </c>
      <c r="O21" s="1">
        <f t="shared" si="6"/>
        <v>26419.260000000002</v>
      </c>
      <c r="P21" s="1">
        <f>+P19*0.14</f>
        <v>16526.72</v>
      </c>
    </row>
    <row r="22" spans="1:23" x14ac:dyDescent="0.25">
      <c r="M22" s="1"/>
    </row>
    <row r="23" spans="1:23" x14ac:dyDescent="0.25">
      <c r="M23" s="1"/>
    </row>
    <row r="24" spans="1:23" s="3" customFormat="1" x14ac:dyDescent="0.25">
      <c r="A24" s="5"/>
      <c r="B24" s="5" t="s">
        <v>26</v>
      </c>
      <c r="C24" s="5"/>
      <c r="D24" s="5"/>
      <c r="E24" s="5"/>
      <c r="F24" s="5"/>
      <c r="G24" s="5"/>
      <c r="H24" s="5">
        <f>H7/D7-1</f>
        <v>0.11321008102421781</v>
      </c>
      <c r="I24" s="5">
        <f>I7/E7-1</f>
        <v>0.10373109291684801</v>
      </c>
      <c r="J24" s="5"/>
      <c r="K24" s="5">
        <f>K7/G7-1</f>
        <v>6.3439254330404093E-2</v>
      </c>
      <c r="L24" s="5"/>
      <c r="M24" s="5"/>
      <c r="N24" s="5">
        <f>N7/M7-1</f>
        <v>0.16191626008164883</v>
      </c>
      <c r="O24" s="5">
        <f>O7/N7-1</f>
        <v>-9.9371918060122688E-3</v>
      </c>
      <c r="P24" s="5">
        <f>P7/O7-1</f>
        <v>9.8210808003577732E-2</v>
      </c>
      <c r="Q24" s="5">
        <f t="shared" ref="Q24:W24" si="7">Q7/P7-1</f>
        <v>-0.32804107178531461</v>
      </c>
      <c r="R24" s="5">
        <f t="shared" si="7"/>
        <v>4.0000000000000036E-2</v>
      </c>
      <c r="S24" s="5">
        <f t="shared" si="7"/>
        <v>4.0000000000000036E-2</v>
      </c>
      <c r="T24" s="5">
        <f t="shared" si="7"/>
        <v>4.0000000000000036E-2</v>
      </c>
      <c r="U24" s="5">
        <f t="shared" si="7"/>
        <v>3.9999999999999813E-2</v>
      </c>
      <c r="V24" s="5">
        <f t="shared" si="7"/>
        <v>4.0000000000000036E-2</v>
      </c>
      <c r="W24" s="5">
        <f t="shared" si="7"/>
        <v>4.0000000000000036E-2</v>
      </c>
    </row>
    <row r="25" spans="1:23" x14ac:dyDescent="0.25">
      <c r="A25" s="4"/>
      <c r="B25" s="4" t="s">
        <v>24</v>
      </c>
      <c r="C25" s="4"/>
      <c r="D25" s="4">
        <f>D9/D7</f>
        <v>0.43173373920050134</v>
      </c>
      <c r="E25" s="4">
        <f>E9/E7</f>
        <v>0.44244180651424408</v>
      </c>
      <c r="F25" s="4"/>
      <c r="G25" s="4">
        <f>G9/G7</f>
        <v>0.45458909498219835</v>
      </c>
      <c r="H25" s="4">
        <f>H9/H7</f>
        <v>0.47477347059138919</v>
      </c>
      <c r="I25" s="4">
        <f>I9/I7</f>
        <v>0.49489409862570738</v>
      </c>
      <c r="J25" s="4">
        <f>J9/J7</f>
        <v>0.49978092218871623</v>
      </c>
      <c r="K25" s="4">
        <f>K9/K7</f>
        <v>0.5258274242794716</v>
      </c>
      <c r="L25" s="4"/>
      <c r="M25" s="4">
        <f>M9/M7</f>
        <v>0.45954893955989246</v>
      </c>
      <c r="N25" s="4">
        <f>N9/N7</f>
        <v>0.43909319107759437</v>
      </c>
      <c r="O25" s="4">
        <f>O9/O7</f>
        <v>0.43052049221714106</v>
      </c>
      <c r="P25" s="4">
        <f>P9/P7</f>
        <v>0.48128371222383687</v>
      </c>
    </row>
    <row r="26" spans="1:23" x14ac:dyDescent="0.25">
      <c r="A26" s="4"/>
      <c r="B26" s="4" t="s">
        <v>30</v>
      </c>
      <c r="C26" s="4"/>
      <c r="D26" s="4">
        <f>D13/D7</f>
        <v>0.2098124356506558</v>
      </c>
      <c r="E26" s="4">
        <f>E13/E7</f>
        <v>0.35165925492351507</v>
      </c>
      <c r="F26" s="4"/>
      <c r="G26" s="4">
        <f>G13/G7</f>
        <v>0.25363700612057127</v>
      </c>
      <c r="H26" s="4">
        <f>H13/H7</f>
        <v>0.24717843547262883</v>
      </c>
      <c r="I26" s="4">
        <f>I13/I7</f>
        <v>0.29080679062247372</v>
      </c>
      <c r="J26" s="4">
        <f>J13/J7</f>
        <v>0.26676589602824813</v>
      </c>
      <c r="K26" s="4">
        <f>K13/K7</f>
        <v>0.32950263634710752</v>
      </c>
      <c r="L26" s="4"/>
      <c r="M26" s="4">
        <f>M13/M7</f>
        <v>0.36775199973447509</v>
      </c>
      <c r="N26" s="4">
        <f>N13/N7</f>
        <v>0.47306103356792678</v>
      </c>
      <c r="O26" s="4">
        <f>O13/O7</f>
        <v>0.19984960833249182</v>
      </c>
      <c r="P26" s="4">
        <f>P13/P7</f>
        <v>0.262840816728652</v>
      </c>
    </row>
    <row r="27" spans="1:23" x14ac:dyDescent="0.25">
      <c r="A27" s="4"/>
      <c r="B27" s="4" t="s">
        <v>36</v>
      </c>
      <c r="C27" s="4"/>
      <c r="D27" s="4">
        <f>D18/D17</f>
        <v>0.19194890326918229</v>
      </c>
      <c r="E27" s="4">
        <f>E18/E17</f>
        <v>0.1546162886867192</v>
      </c>
      <c r="F27" s="4"/>
      <c r="G27" s="4">
        <f>G18/G17</f>
        <v>0.30283420058638633</v>
      </c>
      <c r="H27" s="4">
        <f>H18/H17</f>
        <v>0.2919985328023475</v>
      </c>
      <c r="I27" s="4">
        <f>I18/I17</f>
        <v>0.2303458954989642</v>
      </c>
      <c r="J27" s="4">
        <f>J18/J17</f>
        <v>0.25749173509651274</v>
      </c>
      <c r="K27" s="4">
        <f>K18/K17</f>
        <v>0.24936642027455122</v>
      </c>
      <c r="L27" s="4"/>
      <c r="M27" s="4">
        <f>M18/M17</f>
        <v>0.11052538023130506</v>
      </c>
      <c r="N27" s="4">
        <f>N18/N17</f>
        <v>8.1640880102555005E-2</v>
      </c>
      <c r="O27" s="4">
        <f>O18/O17</f>
        <v>0.10234748483767392</v>
      </c>
      <c r="P27" s="4">
        <f>P18/P17</f>
        <v>0.26825518831667949</v>
      </c>
    </row>
    <row r="28" spans="1:23" s="3" customFormat="1" x14ac:dyDescent="0.25">
      <c r="A28" s="2"/>
      <c r="B28" s="5" t="s">
        <v>40</v>
      </c>
      <c r="L28" s="2"/>
      <c r="M28" s="2"/>
      <c r="N28" s="5">
        <f>N19/M19-1</f>
        <v>0.42270101483216238</v>
      </c>
      <c r="O28" s="5">
        <f>O19/N19-1</f>
        <v>-0.17163864624028791</v>
      </c>
      <c r="P28" s="5">
        <f>P19/O19-1</f>
        <v>-0.37444425014175264</v>
      </c>
      <c r="Q28" s="5">
        <f t="shared" ref="Q28:W28" si="8">Q19/P19-1</f>
        <v>4.0000000000000036E-2</v>
      </c>
      <c r="R28" s="5">
        <f t="shared" si="8"/>
        <v>4.0000000000000036E-2</v>
      </c>
      <c r="S28" s="5">
        <f t="shared" si="8"/>
        <v>4.0000000000000036E-2</v>
      </c>
      <c r="T28" s="5">
        <f t="shared" si="8"/>
        <v>4.0000000000000036E-2</v>
      </c>
      <c r="U28" s="5">
        <f t="shared" si="8"/>
        <v>4.0000000000000036E-2</v>
      </c>
      <c r="V28" s="5">
        <f t="shared" si="8"/>
        <v>4.0000000000000036E-2</v>
      </c>
      <c r="W28" s="5">
        <f t="shared" si="8"/>
        <v>4.0000000000000036E-2</v>
      </c>
    </row>
    <row r="29" spans="1:23" s="4" customFormat="1" x14ac:dyDescent="0.25">
      <c r="B29" s="4" t="s">
        <v>43</v>
      </c>
      <c r="M29" s="4">
        <f t="shared" ref="M29:O29" si="9">M19/M7</f>
        <v>0.33216543861395997</v>
      </c>
      <c r="N29" s="4">
        <f t="shared" si="9"/>
        <v>0.40671787016307276</v>
      </c>
      <c r="O29" s="4">
        <f t="shared" si="9"/>
        <v>0.34029090148444152</v>
      </c>
      <c r="P29" s="4">
        <f>P19/P7</f>
        <v>0.19383430621577466</v>
      </c>
      <c r="Q29" s="4">
        <f t="shared" ref="Q29:W29" si="10">Q19/Q7</f>
        <v>0.3</v>
      </c>
      <c r="R29" s="4">
        <f t="shared" si="10"/>
        <v>0.3</v>
      </c>
      <c r="S29" s="4">
        <f t="shared" si="10"/>
        <v>0.3</v>
      </c>
      <c r="T29" s="4">
        <f t="shared" si="10"/>
        <v>0.3</v>
      </c>
      <c r="U29" s="4">
        <f t="shared" si="10"/>
        <v>0.3</v>
      </c>
      <c r="V29" s="4">
        <f t="shared" si="10"/>
        <v>0.3</v>
      </c>
      <c r="W29" s="4">
        <f t="shared" si="10"/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bakhrom mansurov</dc:creator>
  <cp:lastModifiedBy>bakhrom mansurov</cp:lastModifiedBy>
  <dcterms:created xsi:type="dcterms:W3CDTF">2015-06-05T18:17:20Z</dcterms:created>
  <dcterms:modified xsi:type="dcterms:W3CDTF">2024-05-20T14:53:06Z</dcterms:modified>
</cp:coreProperties>
</file>